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mtPaALjZYuYAjEZBD5kKgXU58Xfvi6nxKLxeKorTvk0+RURKjWk2JVahXNd3P0iFnSh8Bu4tWXCNGbNi1X/Tog==" workbookSaltValue="7uOls3cYwKy3hH2D7MC9P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12" i="6" s="1"/>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BG12" i="8" s="1"/>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AN12" i="11" s="1"/>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EP19" i="8"/>
  <c r="AJ13" i="16"/>
  <c r="S13" i="16"/>
  <c r="P13" i="16"/>
  <c r="H13" i="21"/>
  <c r="AN13" i="20"/>
  <c r="F15" i="17"/>
  <c r="AQ15" i="17" s="1"/>
  <c r="AO12" i="11"/>
  <c r="H13" i="12"/>
  <c r="F13" i="7"/>
  <c r="T13" i="16"/>
  <c r="T13" i="20"/>
  <c r="BD9" i="8"/>
  <c r="BF15" i="13"/>
  <c r="BG15" i="13"/>
  <c r="BA18" i="13"/>
  <c r="BE15" i="13"/>
  <c r="BF16" i="13"/>
  <c r="W20" i="20"/>
  <c r="AA20" i="20"/>
  <c r="M20" i="20"/>
  <c r="AV20" i="20"/>
  <c r="AP20" i="20"/>
  <c r="AO17" i="11" l="1"/>
  <c r="T19" i="8"/>
  <c r="K12" i="7"/>
  <c r="BG10" i="8"/>
  <c r="X12" i="21"/>
  <c r="R17" i="20"/>
  <c r="R18" i="20" s="1"/>
  <c r="BU16" i="17"/>
  <c r="BF15" i="11"/>
  <c r="AA10" i="16"/>
  <c r="AP16" i="20"/>
  <c r="BH15" i="11"/>
  <c r="V11" i="16"/>
  <c r="BF16" i="11"/>
  <c r="BL12" i="11"/>
  <c r="BK11" i="11"/>
  <c r="BM12" i="11"/>
  <c r="BI15" i="11"/>
  <c r="BJ12" i="11"/>
  <c r="BG15" i="11"/>
  <c r="BK17" i="11"/>
  <c r="T15" i="16"/>
  <c r="BV17" i="16"/>
  <c r="BV12" i="16"/>
  <c r="BV11" i="16"/>
  <c r="U10" i="17"/>
  <c r="V12" i="16"/>
  <c r="BV9" i="16"/>
  <c r="AZ16" i="11"/>
  <c r="BG12" i="11"/>
  <c r="BH10" i="11"/>
  <c r="AQ10" i="21"/>
  <c r="BH10" i="16"/>
  <c r="BM17" i="11"/>
  <c r="BH16" i="11"/>
  <c r="BJ16" i="11"/>
  <c r="L12" i="2"/>
  <c r="L9" i="2"/>
  <c r="V15" i="11"/>
  <c r="Q17" i="20"/>
  <c r="Q18" i="20" s="1"/>
  <c r="BF17" i="11"/>
  <c r="S17" i="16"/>
  <c r="AP10" i="21"/>
  <c r="BH9" i="11"/>
  <c r="BJ15" i="11"/>
  <c r="AP15" i="20"/>
  <c r="T17" i="16"/>
  <c r="BU11" i="17"/>
  <c r="BU10" i="17"/>
  <c r="BW12" i="20"/>
  <c r="BW11" i="20"/>
  <c r="BW10" i="20"/>
  <c r="AZ12" i="11"/>
  <c r="Q17" i="17"/>
  <c r="BI9" i="11"/>
  <c r="S10" i="17"/>
  <c r="Q15" i="17"/>
  <c r="AQ12" i="21"/>
  <c r="BL16" i="11"/>
  <c r="U9" i="17"/>
  <c r="U19" i="17" s="1"/>
  <c r="X12" i="17"/>
  <c r="AM11" i="11"/>
  <c r="F15" i="16"/>
  <c r="BE12" i="21"/>
  <c r="BE13" i="21" s="1"/>
  <c r="BE19" i="21" s="1"/>
  <c r="F11" i="11"/>
  <c r="AQ11" i="11" s="1"/>
  <c r="V9" i="16"/>
  <c r="V10" i="16"/>
  <c r="L16" i="2"/>
  <c r="S15" i="17"/>
  <c r="L10" i="2"/>
  <c r="BK10" i="11"/>
  <c r="BH12" i="16"/>
  <c r="BM9" i="11"/>
  <c r="T11" i="11"/>
  <c r="BG16" i="11"/>
  <c r="BH11" i="11"/>
  <c r="BK16" i="11"/>
  <c r="BJ10" i="11"/>
  <c r="BL10" i="11"/>
  <c r="BL15" i="11"/>
  <c r="BF12" i="11"/>
  <c r="P15" i="17"/>
  <c r="P18" i="17" s="1"/>
  <c r="P19" i="17" s="1"/>
  <c r="S15" i="16"/>
  <c r="AZ11" i="11"/>
  <c r="AA15" i="16"/>
  <c r="BU12" i="17"/>
  <c r="S11" i="17"/>
  <c r="BU17" i="17"/>
  <c r="BV10" i="16"/>
  <c r="BU9" i="17"/>
  <c r="BW15" i="20"/>
  <c r="BV15" i="16"/>
  <c r="BW16" i="20"/>
  <c r="BV16" i="16"/>
  <c r="BW17" i="20"/>
  <c r="BW9" i="20"/>
  <c r="BU15" i="17"/>
  <c r="AP17" i="20"/>
  <c r="BM15" i="11"/>
  <c r="BH17" i="11"/>
  <c r="BL11" i="11"/>
  <c r="BG9" i="11"/>
  <c r="BI17" i="11"/>
  <c r="R10" i="21"/>
  <c r="R13" i="21" s="1"/>
  <c r="BJ11" i="11"/>
  <c r="V9" i="11"/>
  <c r="Q10" i="21"/>
  <c r="BI10" i="11"/>
  <c r="V11" i="11"/>
  <c r="BK15" i="11"/>
  <c r="BK9" i="11"/>
  <c r="BF10" i="11"/>
  <c r="BK12" i="11"/>
  <c r="BL17" i="11"/>
  <c r="P17" i="17"/>
  <c r="BH15" i="16"/>
  <c r="BJ17" i="11"/>
  <c r="BH9"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M16" i="11"/>
  <c r="BG10" i="11"/>
  <c r="BH17" i="16"/>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K15" i="12" s="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BE10" i="8"/>
  <c r="G17" i="3"/>
  <c r="K18" i="11"/>
  <c r="AE13" i="17"/>
  <c r="AV18" i="17"/>
  <c r="Z13" i="17"/>
  <c r="D9" i="12"/>
  <c r="E11" i="12"/>
  <c r="AZ19" i="11"/>
  <c r="AZ13" i="11"/>
  <c r="F11" i="12"/>
  <c r="F9" i="12"/>
  <c r="H18" i="3"/>
  <c r="G12" i="3"/>
  <c r="L12" i="14"/>
  <c r="C10" i="6"/>
  <c r="C11" i="6"/>
  <c r="AO13" i="2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J20" i="20"/>
  <c r="AG20" i="20"/>
  <c r="P20" i="20"/>
  <c r="Q20" i="20"/>
  <c r="AF20" i="20"/>
  <c r="T20" i="21"/>
  <c r="AI20" i="20"/>
  <c r="AM20" i="20"/>
  <c r="AC20" i="20"/>
  <c r="AB20" i="20"/>
  <c r="I20" i="20"/>
  <c r="AD20" i="20"/>
  <c r="AX20" i="20"/>
  <c r="G18" i="14"/>
  <c r="U12" i="11"/>
  <c r="O10" i="11"/>
  <c r="AL20" i="20"/>
  <c r="AE20" i="20"/>
  <c r="Y20" i="20"/>
  <c r="F20" i="20"/>
  <c r="O16" i="11"/>
  <c r="I12" i="12" l="1"/>
  <c r="J12" i="12"/>
  <c r="R19" i="21"/>
  <c r="Q9"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H20" i="17"/>
  <c r="U17" i="11"/>
  <c r="N20" i="20"/>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K20" i="11"/>
  <c r="BC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X20" i="16"/>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<sst xmlns="http://schemas.openxmlformats.org/spreadsheetml/2006/main" count="2102" uniqueCount="916">
  <si>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</si>
  <si>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</si>
  <si>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</si>
  <si>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</si>
  <si>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</si>
  <si>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</si>
  <si>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</si>
  <si>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</si>
  <si>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</si>
  <si>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</si>
  <si>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</si>
  <si>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</si>
  <si>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</si>
  <si>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</si>
  <si>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</si>
  <si>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</si>
  <si>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</si>
  <si>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</si>
  <si>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</si>
  <si>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</si>
  <si>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</si>
  <si>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</si>
  <si>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</si>
  <si>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</si>
  <si>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</si>
  <si>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</si>
  <si>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</si>
  <si>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</si>
  <si>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</si>
  <si>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</si>
  <si>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</si>
  <si>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</si>
  <si>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</si>
  <si>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</si>
  <si>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</si>
  <si>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</si>
  <si>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</si>
  <si>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</si>
  <si>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</si>
  <si>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</si>
  <si>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</si>
  <si>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</si>
  <si>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</si>
  <si>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</si>
  <si>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</si>
  <si>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</si>
  <si>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</si>
  <si>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</si>
  <si>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</si>
  <si>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</si>
  <si>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</si>
  <si>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</si>
  <si>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</si>
  <si>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</si>
  <si>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</si>
  <si>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</si>
  <si>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</si>
  <si>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</si>
  <si>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</si>
  <si>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</si>
  <si>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</si>
  <si>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</si>
  <si>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</si>
  <si>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</si>
  <si>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</si>
  <si>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</si>
  <si>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</si>
  <si>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</si>
  <si>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</si>
  <si>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</si>
  <si>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</si>
  <si>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</si>
  <si>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</si>
  <si>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</si>
  <si>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</si>
  <si>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</si>
  <si>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</si>
  <si>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</si>
  <si>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</si>
  <si>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</si>
  <si>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</si>
  <si>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</si>
  <si>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</si>
  <si>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</si>
  <si>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</si>
  <si>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</si>
  <si>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</si>
  <si>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</si>
  <si>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</si>
  <si>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</si>
  <si>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</si>
  <si>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</si>
  <si>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</si>
  <si>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</si>
  <si>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</si>
  <si>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</si>
  <si>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</si>
  <si>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</si>
  <si>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</si>
  <si>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</si>
  <si>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</si>
  <si>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</si>
  <si>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</si>
  <si>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</si>
  <si>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</si>
  <si>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</si>
  <si>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</si>
  <si>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</si>
  <si>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</si>
  <si>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</si>
  <si>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</si>
  <si>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</si>
  <si>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</si>
  <si>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</si>
  <si>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</si>
  <si>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</si>
  <si>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</si>
  <si>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</si>
  <si>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</si>
  <si>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</si>
  <si>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</si>
  <si>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</si>
  <si>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</si>
  <si>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</si>
  <si>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</si>
  <si>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</si>
  <si>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</si>
  <si>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</si>
  <si>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</si>
  <si>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</si>
  <si>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</si>
  <si>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</si>
  <si>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</si>
  <si>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</si>
  <si>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</si>
  <si>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</si>
  <si>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</si>
  <si>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</si>
  <si>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</si>
  <si>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</si>
  <si>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</si>
  <si>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</si>
  <si>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</si>
  <si>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</si>
  <si>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</si>
  <si>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</si>
  <si>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</si>
  <si>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</si>
  <si>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</si>
  <si>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</si>
  <si>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</si>
  <si>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</si>
  <si>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</si>
  <si>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</si>
  <si>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</si>
  <si>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</si>
  <si>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</si>
  <si>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</si>
  <si>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</si>
  <si>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</si>
  <si>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</si>
  <si>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</si>
  <si>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</si>
  <si>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</si>
  <si>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</si>
  <si>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</si>
  <si>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</si>
  <si>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</si>
  <si>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</si>
  <si>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</si>
  <si>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</si>
  <si>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</si>
  <si>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</si>
  <si>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</si>
  <si>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</si>
  <si>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</si>
  <si>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</si>
  <si>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</si>
  <si>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</si>
  <si>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</si>
  <si>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</si>
  <si>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</si>
  <si>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</si>
  <si>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</si>
  <si>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</si>
  <si>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</si>
  <si>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</si>
  <si>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</si>
  <si>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</si>
  <si>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</si>
  <si>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</si>
  <si>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</si>
  <si>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</si>
  <si>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</si>
  <si>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</si>
  <si>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</si>
  <si>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</si>
  <si>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</si>
  <si>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</si>
  <si>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</si>
  <si>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</si>
  <si>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</si>
  <si>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</si>
  <si>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</si>
  <si>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</si>
  <si>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</si>
  <si>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</si>
  <si>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</si>
  <si>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</si>
  <si>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</si>
  <si>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</si>
  <si>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</si>
  <si>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</si>
  <si>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</si>
  <si>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</si>
  <si>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</si>
  <si>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</si>
  <si>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</si>
  <si>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</si>
  <si>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</si>
  <si>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</si>
  <si>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</si>
  <si>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</si>
  <si>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</si>
  <si>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</si>
  <si>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</si>
  <si>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</si>
  <si>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</si>
  <si>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</si>
  <si>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</si>
  <si>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</si>
  <si>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</si>
  <si>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</si>
  <si>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</si>
  <si>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</si>
  <si>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</si>
  <si>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</si>
  <si>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</si>
  <si>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</si>
  <si>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</si>
  <si>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</si>
  <si>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</si>
  <si>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</si>
  <si>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</si>
  <si>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</si>
  <si>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</si>
  <si>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</si>
  <si>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</si>
  <si>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</si>
  <si>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</si>
  <si>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</si>
  <si>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</si>
  <si>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</si>
  <si>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</si>
  <si>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</si>
  <si>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</si>
  <si>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</si>
  <si>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</si>
  <si>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</si>
  <si>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</si>
  <si>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</si>
  <si>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</si>
  <si>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</si>
  <si>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</si>
  <si>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</si>
  <si>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</si>
  <si>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</si>
  <si>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</si>
  <si>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</si>
  <si>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</si>
  <si>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</si>
  <si>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</si>
  <si>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</si>
  <si>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</si>
  <si>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</si>
  <si>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</si>
  <si>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</si>
  <si>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</si>
  <si>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</si>
  <si>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</si>
  <si>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</si>
  <si>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</si>
  <si>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</si>
  <si>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</si>
  <si>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</si>
  <si>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</si>
  <si>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</si>
  <si>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</si>
  <si>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</si>
  <si>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</si>
  <si>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</si>
  <si>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</si>
  <si>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</si>
  <si>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</si>
  <si>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</si>
  <si>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</si>
  <si>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</si>
  <si>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</si>
  <si>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</si>
  <si>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</si>
  <si>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</si>
  <si>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</si>
  <si>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</si>
  <si>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</si>
  <si>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</si>
  <si>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</si>
  <si>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</si>
  <si>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</si>
  <si>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</si>
  <si>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</si>
  <si>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</si>
  <si>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</si>
  <si>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</si>
  <si>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</si>
  <si>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</si>
  <si>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</si>
  <si>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</si>
  <si>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</si>
  <si>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</si>
  <si>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</si>
  <si>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</si>
  <si>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</si>
  <si>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</si>
  <si>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</si>
  <si>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</si>
  <si>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</si>
  <si>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</si>
  <si>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</si>
  <si>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</si>
  <si>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</si>
  <si>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</si>
  <si>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</si>
  <si>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</si>
  <si>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</si>
  <si>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</si>
  <si>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</si>
  <si>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</si>
  <si>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</si>
  <si>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</si>
  <si>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</si>
  <si>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</si>
  <si>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</si>
  <si>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</si>
  <si>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</si>
  <si>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</si>
  <si>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</si>
  <si>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</si>
  <si>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</si>
  <si>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</si>
  <si>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</si>
  <si>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</si>
  <si>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</si>
  <si>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</si>
  <si>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</si>
  <si>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</si>
  <si>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</si>
  <si>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</si>
  <si>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</si>
  <si>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</si>
  <si>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</si>
  <si>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</si>
  <si>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</si>
  <si>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</si>
  <si>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</si>
  <si>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</si>
  <si>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</si>
  <si>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</si>
  <si>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</si>
  <si>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</si>
  <si>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</si>
  <si>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</si>
  <si>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</si>
  <si>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</si>
  <si>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</si>
  <si>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</si>
  <si>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</si>
  <si>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</si>
  <si>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</si>
  <si>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</si>
  <si>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</si>
  <si>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</si>
  <si>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</si>
  <si>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</si>
  <si>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</si>
  <si>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</si>
  <si>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</si>
  <si>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</si>
  <si>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</si>
  <si>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</si>
  <si>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</si>
  <si>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</si>
  <si>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</si>
  <si>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</si>
  <si>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</si>
  <si>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</si>
  <si>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</si>
  <si>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</si>
  <si>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</si>
  <si>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</si>
  <si>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</si>
  <si>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</si>
  <si>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</si>
  <si>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</si>
  <si>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</si>
  <si>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</si>
  <si>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</si>
  <si>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</si>
  <si>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</si>
  <si>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</si>
  <si>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</si>
  <si>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</si>
  <si>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</si>
  <si>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</si>
  <si>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</si>
  <si>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</si>
  <si>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</si>
  <si>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</si>
  <si>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</si>
  <si>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</si>
  <si>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</si>
  <si>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</si>
  <si>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</si>
  <si>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</si>
  <si>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</si>
  <si>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</si>
  <si>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</si>
  <si>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</si>
  <si>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</si>
  <si>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</si>
  <si>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</si>
  <si>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</si>
  <si>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</si>
  <si>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</si>
  <si>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</si>
  <si>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</si>
  <si>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</si>
  <si>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</si>
  <si>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</si>
  <si>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</si>
  <si>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</si>
  <si>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</si>
  <si>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</si>
  <si>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</si>
  <si>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</si>
  <si>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</si>
  <si>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</si>
  <si>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</si>
  <si>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</si>
  <si>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</si>
  <si>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</si>
  <si>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</si>
  <si>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</si>
  <si>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</si>
  <si>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</si>
  <si>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</si>
  <si>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</si>
  <si>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</si>
  <si>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</si>
  <si>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</si>
  <si>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</si>
  <si>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</si>
  <si>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</si>
  <si>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</si>
  <si>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</si>
  <si>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</si>
  <si>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</si>
  <si>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</si>
  <si>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</si>
  <si>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</si>
  <si>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</si>
  <si>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</si>
  <si>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</si>
  <si>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</si>
  <si>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</si>
  <si>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</si>
  <si>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</si>
  <si>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</si>
  <si>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</si>
  <si>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</si>
  <si>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</si>
  <si>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</si>
  <si>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</si>
  <si>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</si>
  <si>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</si>
  <si>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</si>
  <si>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</si>
  <si>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</si>
  <si>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</si>
  <si>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</si>
  <si>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</si>
  <si>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</si>
  <si>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</si>
  <si>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</si>
  <si>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</si>
  <si>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</si>
  <si>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</si>
  <si>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</si>
  <si>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</si>
  <si>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</si>
  <si>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</si>
  <si>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</si>
  <si>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</si>
  <si>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</si>
  <si>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</si>
  <si>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</si>
  <si>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</si>
  <si>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</si>
  <si>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</si>
  <si>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</si>
  <si>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</si>
  <si>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</si>
  <si>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</si>
  <si>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</si>
  <si>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</si>
  <si>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</si>
  <si>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</si>
  <si>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</si>
  <si>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</si>
  <si>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</si>
  <si>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</si>
  <si>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</si>
  <si>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</si>
  <si>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</si>
  <si>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</si>
  <si>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</si>
  <si>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</si>
  <si>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</si>
  <si>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</si>
  <si>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</si>
  <si>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</si>
  <si>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</si>
  <si>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</si>
  <si>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</si>
  <si>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</si>
  <si>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</si>
  <si>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</si>
  <si>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</si>
  <si>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</si>
  <si>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</si>
  <si>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</si>
  <si>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</si>
  <si>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</si>
  <si>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</si>
  <si>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</si>
  <si>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</si>
  <si>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</si>
  <si>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</si>
  <si>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</si>
  <si>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</si>
  <si>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</si>
  <si>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</si>
  <si>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</si>
  <si>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</si>
  <si>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</si>
  <si>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</si>
  <si>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</si>
  <si>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</si>
  <si>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</si>
  <si>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</si>
  <si>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</si>
  <si>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</si>
  <si>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</si>
  <si>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</si>
  <si>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</si>
  <si>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</si>
  <si>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</si>
  <si>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</si>
  <si>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</si>
  <si>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</si>
  <si>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</si>
  <si>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</si>
  <si>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</si>
  <si>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</si>
  <si>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</si>
  <si>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</si>
  <si>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</si>
  <si>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</si>
  <si>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</si>
  <si>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</si>
  <si>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</si>
  <si>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</si>
  <si>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</si>
  <si>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</si>
  <si>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</si>
  <si>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</si>
  <si>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</si>
  <si>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</si>
  <si>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</si>
  <si>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</si>
  <si>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</si>
  <si>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</si>
  <si>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</si>
  <si>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</si>
  <si>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</si>
  <si>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</si>
  <si>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</si>
  <si>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</si>
  <si>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</si>
  <si>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</si>
  <si>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</si>
  <si>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</si>
  <si>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</si>
  <si>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</si>
  <si>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</si>
  <si>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</si>
  <si>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</si>
  <si>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</si>
  <si>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</si>
  <si>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</si>
  <si>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</si>
  <si>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</si>
  <si>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</si>
  <si>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</si>
  <si>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</si>
  <si>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</si>
  <si>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</si>
  <si>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</si>
  <si>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</si>
  <si>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</si>
  <si>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</si>
  <si>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</si>
  <si>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</si>
  <si>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</si>
  <si>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</si>
  <si>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</si>
  <si>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</si>
  <si>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</si>
  <si>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</si>
  <si>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</si>
  <si>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</si>
  <si>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</si>
  <si>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</si>
  <si>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</si>
  <si>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</si>
  <si>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</si>
  <si>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</si>
  <si>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</si>
  <si>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</si>
  <si>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</si>
  <si>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</si>
  <si>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</si>
  <si>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</si>
  <si>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</si>
  <si>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</si>
  <si>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</si>
  <si>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</si>
  <si>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</si>
  <si>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</si>
  <si>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</si>
  <si>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</si>
  <si>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</si>
  <si>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</si>
  <si>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</si>
  <si>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</si>
  <si>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</si>
  <si>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</si>
  <si>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</si>
  <si>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</si>
  <si>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</si>
  <si>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</si>
  <si>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</si>
  <si>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</si>
  <si>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</si>
  <si>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</si>
  <si>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</si>
  <si>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</si>
  <si>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</si>
  <si>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</si>
  <si>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</si>
  <si>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</si>
  <si>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</si>
  <si>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</si>
  <si>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</si>
  <si>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</si>
  <si>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</si>
  <si>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</si>
  <si>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</si>
  <si>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</si>
  <si>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</si>
  <si>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</si>
  <si>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</si>
  <si>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</si>
  <si>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</si>
  <si>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</si>
  <si>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</si>
  <si>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</si>
  <si>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</si>
  <si>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</si>
  <si>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</si>
  <si>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</si>
  <si>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</si>
  <si>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</si>
  <si>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</si>
  <si>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</si>
  <si>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</si>
  <si>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</si>
  <si>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</si>
  <si>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</si>
  <si>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</si>
  <si>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</si>
  <si>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</si>
  <si>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</si>
  <si>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</si>
  <si>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</si>
  <si>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</si>
  <si>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</si>
  <si>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</si>
  <si>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</si>
  <si>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</si>
  <si>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</si>
  <si>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</si>
  <si>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</si>
  <si>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</si>
  <si>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</si>
  <si>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</si>
  <si>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</si>
  <si>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</si>
  <si>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</si>
  <si>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</si>
  <si>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</si>
  <si>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</si>
  <si>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</si>
  <si>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</si>
  <si>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</si>
  <si>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</si>
  <si>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</si>
  <si>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</si>
  <si>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</si>
  <si>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</si>
  <si>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</si>
  <si>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</si>
  <si>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</si>
  <si>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</si>
  <si>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</si>
  <si>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</si>
  <si>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</si>
  <si>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</si>
  <si>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</si>
  <si>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</si>
  <si>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</si>
  <si>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</si>
  <si>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</si>
  <si>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</si>
  <si>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</si>
  <si>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</si>
  <si>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</si>
  <si>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</si>
  <si>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</si>
  <si>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</si>
  <si>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</si>
  <si>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</si>
  <si>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</si>
  <si>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</si>
  <si>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</si>
  <si>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</si>
  <si>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</si>
  <si>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</si>
  <si>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</si>
  <si>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</si>
  <si>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</si>
  <si>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</si>
  <si>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</si>
  <si>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</si>
  <si>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</si>
  <si>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</si>
  <si>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</si>
  <si>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</si>
  <si>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</si>
  <si>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</si>
  <si>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</si>
  <si>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</si>
  <si>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</si>
  <si>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</si>
  <si>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</si>
  <si>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</si>
  <si>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</si>
  <si>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</si>
  <si>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</si>
  <si>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</si>
  <si>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</si>
  <si>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</si>
  <si>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</si>
  <si>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</si>
  <si>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</si>
  <si>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</si>
  <si>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</si>
  <si>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</si>
  <si>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</si>
  <si>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</si>
  <si>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</si>
  <si>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</si>
  <si>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</si>
  <si>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</si>
  <si>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</si>
  <si>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</si>
  <si>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</si>
  <si>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</si>
  <si>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</si>
  <si>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</si>
  <si>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</si>
  <si>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</si>
  <si>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</si>
  <si>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</si>
  <si>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</si>
  <si>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</si>
  <si>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</si>
  <si>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</si>
  <si>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</si>
  <si>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</si>
  <si>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</si>
  <si>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</si>
  <si>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</si>
  <si>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</si>
  <si>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</si>
  <si>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</si>
  <si>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</si>
  <si>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</si>
  <si>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</si>
  <si>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</si>
  <si>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</si>
  <si>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</si>
  <si>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</si>
  <si>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</si>
  <si>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</si>
  <si>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</si>
  <si>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</si>
  <si>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</si>
  <si>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</si>
  <si>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</si>
  <si>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</si>
  <si>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</si>
  <si>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</si>
  <si>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</si>
  <si>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</si>
  <si>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</si>
  <si>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</si>
  <si>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</si>
  <si>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</si>
  <si>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</si>
  <si>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</si>
  <si>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</si>
  <si>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</si>
  <si>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</si>
  <si>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</si>
  <si>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</si>
  <si>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</si>
  <si>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</si>
  <si>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</si>
  <si>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</si>
  <si>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</si>
  <si>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</si>
  <si>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</si>
  <si>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</si>
  <si>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</si>
  <si>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</si>
  <si>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</si>
  <si>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</si>
  <si>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</si>
  <si>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</si>
  <si>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</si>
  <si>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</si>
  <si>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</si>
  <si>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</si>
  <si>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</si>
  <si>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</si>
  <si>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</si>
  <si>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</si>
  <si>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</si>
  <si>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</si>
  <si>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</si>
  <si>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</si>
  <si>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</si>
  <si>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</si>
  <si>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</si>
  <si>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</si>
  <si>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</si>
  <si>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</si>
  <si>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</si>
  <si>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</si>
  <si>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</si>
  <si>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</si>
  <si>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</si>
  <si>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</si>
  <si>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</si>
  <si>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</si>
  <si>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</si>
  <si>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</si>
  <si>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</si>
  <si>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</si>
  <si>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</si>
  <si>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</si>
  <si>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</si>
  <si>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</si>
  <si>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</si>
  <si>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</si>
  <si>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</si>
  <si>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</si>
  <si>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</si>
  <si>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</si>
  <si>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</si>
  <si>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</si>
  <si>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</si>
  <si>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</si>
  <si>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</si>
  <si>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</si>
  <si>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</si>
  <si>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</si>
  <si>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</si>
  <si>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</si>
  <si>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</si>
  <si>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</si>
  <si>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COMUNIDAD VALENCIANA</t>
  </si>
  <si>
    <t>Provincias</t>
  </si>
  <si>
    <t>VALENCIA</t>
  </si>
  <si>
    <t>Resumenes por Partidos Judiciales</t>
  </si>
  <si>
    <t>SAGUNT-SAGUNTO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</si>
</sst>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lULMz7i2TmQ/M49Xknl+eYo5moB0c5vPepE11JDEVI79i5JJu/g0lsqmBGU//l31VMdGlt5V0Z4e44c0TSMGiw==" saltValue="C64MF2B/AcWcYrHO8Pe0L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57</v>
      </c>
      <c r="D10" s="225">
        <f>IF(ISNUMBER(Datos!I10),Datos!I10," - ")</f>
        <v>57</v>
      </c>
      <c r="E10" s="226">
        <f>IF(ISNUMBER(Datos!J10),Datos!J10," - ")</f>
        <v>25</v>
      </c>
      <c r="F10" s="226">
        <f>IF(ISNUMBER(Datos!K10),Datos!K10," - ")</f>
        <v>20</v>
      </c>
      <c r="G10" s="1034" t="str">
        <f>IF(Datos!E10&lt;&gt;"",Datos!E10,Datos!D10)</f>
        <v>37</v>
      </c>
      <c r="H10" s="227">
        <f>IF(ISNUMBER(Datos!L10),Datos!L10," - ")</f>
        <v>62</v>
      </c>
      <c r="I10" s="1044" t="str">
        <f>IF(ISNUMBER(Datos!AS10/Datos!BM10),Datos!AS10/Datos!BM10," - ")</f>
        <v xml:space="preserve"> - </v>
      </c>
      <c r="J10" s="1045">
        <f>IF(ISNUMBER(Datos!BY10/Datos!CN10),Datos!BY10/Datos!CN10," - ")</f>
        <v>0</v>
      </c>
      <c r="K10" s="230">
        <f t="shared" ref="K10:K12" si="1">IF(ISNUMBER((E10-F10)/C10),(E10-F10)/C10," - ")</f>
        <v>8.771929824561403E-2</v>
      </c>
      <c r="L10" s="1025">
        <f>IF(ISNUMBER(NºAsuntos!I10/NºAsuntos!G10),(NºAsuntos!I10/NºAsuntos!G10)*11," - ")</f>
        <v>34.1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7</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28.312793733681463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57</v>
      </c>
      <c r="D13" s="1049">
        <f>SUBTOTAL(9,D9:D12)</f>
        <v>57</v>
      </c>
      <c r="E13" s="1050">
        <f>SUBTOTAL(9,E9:E12)</f>
        <v>25</v>
      </c>
      <c r="F13" s="1051">
        <f>SUBTOTAL(9,F9:F12)</f>
        <v>20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7</v>
      </c>
      <c r="B16" s="502" t="str">
        <f>Datos!A16</f>
        <v xml:space="preserve">Jdos. 1ª Instª. e Instr.                        </v>
      </c>
      <c r="C16" s="225">
        <f t="shared" si="2"/>
        <v>1907</v>
      </c>
      <c r="D16" s="225">
        <f>IF(ISNUMBER(IF(D_I="SI",Datos!I16,Datos!I16+Datos!AC16)),IF(D_I="SI",Datos!I16,Datos!I16+Datos!AC16)," - ")</f>
        <v>1946</v>
      </c>
      <c r="E16" s="226">
        <f>IF(ISNUMBER(IF(D_I="SI",Datos!J16,Datos!J16+Datos!AD16)),IF(D_I="SI",Datos!J16,Datos!J16+Datos!AD16)," - ")</f>
        <v>1425</v>
      </c>
      <c r="F16" s="226">
        <f>IF(ISNUMBER(IF(D_I="SI",Datos!K16,Datos!K16+Datos!AE16)),IF(D_I="SI",Datos!K16,Datos!K16+Datos!AE16)," - ")</f>
        <v>1164</v>
      </c>
      <c r="G16" s="1034" t="str">
        <f>IF(Datos!E16&lt;&gt;"",Datos!E16,Datos!D16)</f>
        <v>04</v>
      </c>
      <c r="H16" s="227">
        <f>IF(ISNUMBER(IF(D_I="SI",Datos!L16,Datos!L16+Datos!AF16)),IF(D_I="SI",Datos!L16,Datos!L16+Datos!AF16)," - ")</f>
        <v>2168</v>
      </c>
      <c r="I16" s="1044" t="str">
        <f>IF(ISNUMBER(Datos!AS16/Datos!BM16),Datos!AS16/Datos!BM16," - ")</f>
        <v xml:space="preserve"> - </v>
      </c>
      <c r="J16" s="1045">
        <f>IF(ISNUMBER(Datos!BY16/Datos!CN16),Datos!BY16/Datos!CN16," - ")</f>
        <v>0</v>
      </c>
      <c r="K16" s="230">
        <f t="shared" si="3"/>
        <v>0.13686418458311483</v>
      </c>
      <c r="L16" s="1025">
        <f>IF(ISNUMBER(NºAsuntos!I16/NºAsuntos!G16),(NºAsuntos!I16/NºAsuntos!G16)*11," - ")</f>
        <v>20.487972508591067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284</v>
      </c>
      <c r="D17" s="225">
        <f>IF(ISNUMBER(IF(D_I="SI",Datos!I17,Datos!I17+Datos!AC17)),IF(D_I="SI",Datos!I17,Datos!I17+Datos!AC17)," - ")</f>
        <v>284</v>
      </c>
      <c r="E17" s="226">
        <f>IF(ISNUMBER(IF(D_I="SI",Datos!J17,Datos!J17+Datos!AD17)),IF(D_I="SI",Datos!J17,Datos!J17+Datos!AD17)," - ")</f>
        <v>124</v>
      </c>
      <c r="F17" s="226">
        <f>IF(ISNUMBER(IF(D_I="SI",Datos!K17,Datos!K17+Datos!AE17)),IF(D_I="SI",Datos!K17,Datos!K17+Datos!AE17)," - ")</f>
        <v>119</v>
      </c>
      <c r="G17" s="1034" t="str">
        <f>IF(Datos!E17&lt;&gt;"",Datos!E17,Datos!D17)</f>
        <v>37</v>
      </c>
      <c r="H17" s="227">
        <f>IF(ISNUMBER(IF(D_I="SI",Datos!L17,Datos!L17+Datos!AF17)),IF(D_I="SI",Datos!L17,Datos!L17+Datos!AF17)," - ")</f>
        <v>289</v>
      </c>
      <c r="I17" s="1044" t="str">
        <f>IF(ISNUMBER(Datos!AS17/Datos!BM17),Datos!AS17/Datos!BM17," - ")</f>
        <v xml:space="preserve"> - </v>
      </c>
      <c r="J17" s="1045" t="str">
        <f>IF(ISNUMBER((Datos!BY17+Datos!BZ17)/Datos!CN17),(Datos!BY17+Datos!BZ17)/Datos!CN17," - ")</f>
        <v xml:space="preserve"> - </v>
      </c>
      <c r="K17" s="230">
        <f t="shared" si="3"/>
        <v>1.7605633802816902E-2</v>
      </c>
      <c r="L17" s="1025">
        <f>IF(ISNUMBER(NºAsuntos!I17/NºAsuntos!G17),(NºAsuntos!I17/NºAsuntos!G17)*11," - ")</f>
        <v>26.714285714285712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2191</v>
      </c>
      <c r="D18" s="1049">
        <f>SUBTOTAL(9,D15:D17)</f>
        <v>2230</v>
      </c>
      <c r="E18" s="1050">
        <f>SUBTOTAL(9,E15:E17)</f>
        <v>1549</v>
      </c>
      <c r="F18" s="1050">
        <f>SUBTOTAL(9,F15:F17)</f>
        <v>1283</v>
      </c>
      <c r="G18" s="1052" t="str">
        <f ca="1">INDIRECT(CONCATENATE("G",ROW()-1))</f>
        <v>37</v>
      </c>
      <c r="H18" s="1053">
        <f ca="1">SUMIF(G$14:G17,G18,H$14:H17)</f>
        <v>289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2248</v>
      </c>
      <c r="D19" s="1071">
        <f>SUBTOTAL(9,D9:D18)</f>
        <v>2287</v>
      </c>
      <c r="E19" s="1072">
        <f>SUBTOTAL(9,E9:E18)</f>
        <v>1574</v>
      </c>
      <c r="F19" s="1072">
        <f>SUBTOTAL(9,F9:F18)</f>
        <v>1303</v>
      </c>
      <c r="G19" s="1073"/>
      <c r="H19" s="1074">
        <f ca="1">SUMIF(B9:B18,"TOTAL",H9:H18)</f>
        <v>289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4EOIDTlQJBtR8to2YmMl+wvqX3nUg/j5D6zTFJSbnShViw/sK+W4zKQS06Hk9k/jWQrafCzW2WOpX+YkRtL7JQ==" saltValue="HfXpS660Xb8/YxzpfNtkn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gEKTxQZ/8fGOer/Nuapm+2ruhhUTdG9lYtc9TxHtu0+rF5LE6/PAgJmg/EV2/0yrc2PL8H+JmiCA2lP3fRYAIA==" saltValue="mD6ZNNCXsM5nAdIy/K8q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57</v>
      </c>
      <c r="J10" s="181">
        <v>25</v>
      </c>
      <c r="K10" s="181">
        <v>20</v>
      </c>
      <c r="L10" s="181">
        <v>62</v>
      </c>
      <c r="M10" s="181">
        <v>16</v>
      </c>
      <c r="N10" s="181">
        <v>4</v>
      </c>
      <c r="O10" s="181">
        <v>2</v>
      </c>
      <c r="P10" s="181">
        <v>6</v>
      </c>
      <c r="Q10" s="181">
        <v>2</v>
      </c>
      <c r="R10" s="181">
        <v>13</v>
      </c>
      <c r="S10" s="181">
        <v>37</v>
      </c>
      <c r="T10" s="181">
        <v>11</v>
      </c>
      <c r="U10" s="181">
        <v>11</v>
      </c>
      <c r="V10" s="181">
        <v>37</v>
      </c>
      <c r="W10" s="181">
        <v>11</v>
      </c>
      <c r="X10" s="188">
        <v>3</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37</v>
      </c>
      <c r="AZ10" s="129">
        <f t="shared" si="0"/>
        <v>11</v>
      </c>
      <c r="BA10" s="129">
        <f t="shared" si="0"/>
        <v>11</v>
      </c>
      <c r="BB10" s="129">
        <f t="shared" si="0"/>
        <v>37</v>
      </c>
      <c r="BC10" s="125">
        <f t="shared" si="0"/>
        <v>11</v>
      </c>
      <c r="BD10" s="126">
        <f>IF(ISNUMBER(BA10/AZ10),BA10/AZ10," - ")</f>
        <v>1</v>
      </c>
      <c r="BE10" s="127">
        <f>IF(ISNUMBER(BB10/BA10),BB10/BA10, " - ")</f>
        <v>3.3636363636363638</v>
      </c>
      <c r="BF10" s="127">
        <f>IF(ISNUMBER(BC10/BA10),BC10/BA10, " - ")</f>
        <v>1</v>
      </c>
      <c r="BG10" s="196">
        <f>IF(ISNUMBER((AY10+AZ10)/BA10),(AY10+AZ10)/BA10," - ")</f>
        <v>4.3636363636363633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5007</v>
      </c>
      <c r="J12" s="183">
        <v>1482</v>
      </c>
      <c r="K12" s="183">
        <v>1768</v>
      </c>
      <c r="L12" s="183">
        <v>4671</v>
      </c>
      <c r="M12" s="183">
        <v>361</v>
      </c>
      <c r="N12" s="183">
        <v>981</v>
      </c>
      <c r="O12" s="181">
        <v>696</v>
      </c>
      <c r="P12" s="183">
        <v>376</v>
      </c>
      <c r="Q12" s="183">
        <v>178</v>
      </c>
      <c r="R12" s="183">
        <v>4245</v>
      </c>
      <c r="S12" s="183">
        <v>4438</v>
      </c>
      <c r="T12" s="183">
        <v>1318</v>
      </c>
      <c r="U12" s="183">
        <v>1412</v>
      </c>
      <c r="V12" s="183">
        <v>4331</v>
      </c>
      <c r="W12" s="183">
        <v>310</v>
      </c>
      <c r="X12" s="189">
        <v>726</v>
      </c>
      <c r="Y12" s="191">
        <v>222</v>
      </c>
      <c r="Z12" s="181">
        <v>191</v>
      </c>
      <c r="AA12" s="181">
        <v>147</v>
      </c>
      <c r="AB12" s="181">
        <v>258</v>
      </c>
      <c r="AC12" s="183">
        <v>0</v>
      </c>
      <c r="AD12" s="183">
        <v>0</v>
      </c>
      <c r="AE12" s="183">
        <v>0</v>
      </c>
      <c r="AF12" s="189">
        <v>0</v>
      </c>
      <c r="AG12" s="202">
        <v>204</v>
      </c>
      <c r="AH12" s="183">
        <v>148</v>
      </c>
      <c r="AI12" s="183">
        <v>150</v>
      </c>
      <c r="AJ12" s="203">
        <v>202</v>
      </c>
      <c r="AK12" s="182">
        <v>0</v>
      </c>
      <c r="AL12" s="183">
        <v>0</v>
      </c>
      <c r="AM12" s="183">
        <v>0</v>
      </c>
      <c r="AN12" s="189">
        <v>0</v>
      </c>
      <c r="AO12" s="259">
        <v>7</v>
      </c>
      <c r="AP12" s="155">
        <v>7</v>
      </c>
      <c r="AQ12" s="155">
        <v>7</v>
      </c>
      <c r="AR12" s="154">
        <v>7</v>
      </c>
      <c r="AS12" s="340" t="s">
        <v>794</v>
      </c>
      <c r="AT12" s="203"/>
      <c r="AU12" s="202"/>
      <c r="AV12" s="203"/>
      <c r="AW12" s="202"/>
      <c r="AX12" s="203"/>
      <c r="AY12" s="126">
        <f t="shared" si="1"/>
        <v>4642</v>
      </c>
      <c r="AZ12" s="127">
        <f t="shared" si="1"/>
        <v>1466</v>
      </c>
      <c r="BA12" s="127">
        <f t="shared" si="1"/>
        <v>1562</v>
      </c>
      <c r="BB12" s="127">
        <f t="shared" si="1"/>
        <v>4533</v>
      </c>
      <c r="BC12" s="125">
        <f>IF(ISNUMBER(X12),X12," - ")</f>
        <v>726</v>
      </c>
      <c r="BD12" s="126">
        <f t="shared" si="2"/>
        <v>1.0654843110504775</v>
      </c>
      <c r="BE12" s="127">
        <f t="shared" si="3"/>
        <v>2.9020486555697822</v>
      </c>
      <c r="BF12" s="127">
        <f t="shared" si="4"/>
        <v>0.46478873239436619</v>
      </c>
      <c r="BG12" s="196">
        <f t="shared" si="5"/>
        <v>3.910371318822023</v>
      </c>
      <c r="BH12" s="155">
        <v>7</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5064</v>
      </c>
      <c r="J13" s="184">
        <f t="shared" si="6"/>
        <v>1507</v>
      </c>
      <c r="K13" s="184">
        <f t="shared" si="6"/>
        <v>1788</v>
      </c>
      <c r="L13" s="184">
        <f t="shared" si="6"/>
        <v>4733</v>
      </c>
      <c r="M13" s="184">
        <f t="shared" si="6"/>
        <v>377</v>
      </c>
      <c r="N13" s="184">
        <f t="shared" si="6"/>
        <v>985</v>
      </c>
      <c r="O13" s="184">
        <f t="shared" si="6"/>
        <v>698</v>
      </c>
      <c r="P13" s="184">
        <f t="shared" si="6"/>
        <v>382</v>
      </c>
      <c r="Q13" s="184">
        <f t="shared" si="6"/>
        <v>180</v>
      </c>
      <c r="R13" s="184">
        <f t="shared" si="6"/>
        <v>4258</v>
      </c>
      <c r="S13" s="184">
        <f t="shared" si="6"/>
        <v>4475</v>
      </c>
      <c r="T13" s="184">
        <f t="shared" si="6"/>
        <v>1329</v>
      </c>
      <c r="U13" s="184">
        <f t="shared" si="6"/>
        <v>1423</v>
      </c>
      <c r="V13" s="184">
        <f t="shared" si="6"/>
        <v>4368</v>
      </c>
      <c r="W13" s="184">
        <f t="shared" si="6"/>
        <v>321</v>
      </c>
      <c r="X13" s="184">
        <f t="shared" si="6"/>
        <v>729</v>
      </c>
      <c r="Y13" s="184">
        <f t="shared" si="6"/>
        <v>222</v>
      </c>
      <c r="Z13" s="184">
        <f t="shared" si="6"/>
        <v>191</v>
      </c>
      <c r="AA13" s="184">
        <f t="shared" si="6"/>
        <v>147</v>
      </c>
      <c r="AB13" s="184">
        <f t="shared" si="6"/>
        <v>258</v>
      </c>
      <c r="AC13" s="184">
        <f t="shared" si="6"/>
        <v>0</v>
      </c>
      <c r="AD13" s="184">
        <f t="shared" si="6"/>
        <v>0</v>
      </c>
      <c r="AE13" s="184">
        <f t="shared" si="6"/>
        <v>0</v>
      </c>
      <c r="AF13" s="184">
        <f>SUBTOTAL(9,AF9:AF12)</f>
        <v>0</v>
      </c>
      <c r="AG13" s="184">
        <f t="shared" ref="AG13:AT13" si="7">SUBTOTAL(9,AG8:AG12)</f>
        <v>204</v>
      </c>
      <c r="AH13" s="184">
        <f t="shared" si="7"/>
        <v>148</v>
      </c>
      <c r="AI13" s="184">
        <f t="shared" si="7"/>
        <v>150</v>
      </c>
      <c r="AJ13" s="184">
        <f t="shared" si="7"/>
        <v>202</v>
      </c>
      <c r="AK13" s="184">
        <f t="shared" si="7"/>
        <v>0</v>
      </c>
      <c r="AL13" s="184">
        <f t="shared" si="7"/>
        <v>0</v>
      </c>
      <c r="AM13" s="184">
        <f t="shared" si="7"/>
        <v>0</v>
      </c>
      <c r="AN13" s="184">
        <f t="shared" si="7"/>
        <v>0</v>
      </c>
      <c r="AO13" s="184">
        <f t="shared" si="7"/>
        <v>8</v>
      </c>
      <c r="AP13" s="184">
        <f t="shared" si="7"/>
        <v>7</v>
      </c>
      <c r="AQ13" s="184">
        <f t="shared" si="7"/>
        <v>7</v>
      </c>
      <c r="AR13" s="184">
        <f t="shared" si="7"/>
        <v>7</v>
      </c>
      <c r="AS13" s="184">
        <f t="shared" si="7"/>
        <v>0</v>
      </c>
      <c r="AT13" s="184">
        <f t="shared" si="7"/>
        <v>0</v>
      </c>
      <c r="AU13" s="204"/>
      <c r="AV13" s="132"/>
      <c r="AW13" s="204"/>
      <c r="AX13" s="132"/>
      <c r="AY13" s="184">
        <f>SUBTOTAL(9,AY8:AY12)</f>
        <v>4679</v>
      </c>
      <c r="AZ13" s="184">
        <f>SUBTOTAL(9,AZ8:AZ12)</f>
        <v>1477</v>
      </c>
      <c r="BA13" s="184">
        <f>SUBTOTAL(9,BA8:BA12)</f>
        <v>1573</v>
      </c>
      <c r="BB13" s="184">
        <f>SUBTOTAL(9,BB8:BB12)</f>
        <v>4570</v>
      </c>
      <c r="BC13" s="184">
        <f>SUBTOTAL(9,BC8:BC12)</f>
        <v>737</v>
      </c>
      <c r="BD13" s="205">
        <f>IF(ISNUMBER(BA13/AZ13),BA13/AZ13," - ")</f>
        <v>1.0649966147596479</v>
      </c>
      <c r="BE13" s="206">
        <f>IF(ISNUMBER(BB13/BA13),BB13/BA13, " - ")</f>
        <v>2.9052765416401778</v>
      </c>
      <c r="BF13" s="206">
        <f>IF(ISNUMBER(BC13/BA13),BC13/BA13, " - ")</f>
        <v>0.46853146853146854</v>
      </c>
      <c r="BG13" s="207">
        <f>IF(ISNUMBER((AY13+AZ13)/BA13),(AY13+AZ13)/BA13," - ")</f>
        <v>3.9135410044500953</v>
      </c>
      <c r="BH13" s="140">
        <f>SUBTOTAL(9,BH8:BH12)</f>
        <v>8</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1946</v>
      </c>
      <c r="J16" s="183">
        <v>1425</v>
      </c>
      <c r="K16" s="183">
        <v>1164</v>
      </c>
      <c r="L16" s="183">
        <v>2168</v>
      </c>
      <c r="M16" s="183">
        <v>176</v>
      </c>
      <c r="N16" s="183">
        <v>632</v>
      </c>
      <c r="O16" s="181">
        <v>17</v>
      </c>
      <c r="P16" s="183">
        <v>56</v>
      </c>
      <c r="Q16" s="183">
        <v>38</v>
      </c>
      <c r="R16" s="183">
        <v>315</v>
      </c>
      <c r="S16" s="183">
        <v>2082</v>
      </c>
      <c r="T16" s="183">
        <v>1441</v>
      </c>
      <c r="U16" s="183">
        <v>1420</v>
      </c>
      <c r="V16" s="183">
        <v>2071</v>
      </c>
      <c r="W16" s="183">
        <v>189</v>
      </c>
      <c r="X16" s="189">
        <v>803</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7</v>
      </c>
      <c r="AP16" s="155">
        <v>7</v>
      </c>
      <c r="AQ16" s="155">
        <v>7</v>
      </c>
      <c r="AR16" s="155">
        <v>7</v>
      </c>
      <c r="AS16" s="340" t="s">
        <v>487</v>
      </c>
      <c r="AT16" s="203"/>
      <c r="AU16" s="202"/>
      <c r="AV16" s="203"/>
      <c r="AW16" s="202"/>
      <c r="AX16" s="203"/>
      <c r="AY16" s="126">
        <f t="shared" si="9"/>
        <v>2082</v>
      </c>
      <c r="AZ16" s="127">
        <f t="shared" si="9"/>
        <v>1441</v>
      </c>
      <c r="BA16" s="127">
        <f t="shared" si="9"/>
        <v>1420</v>
      </c>
      <c r="BB16" s="127">
        <f t="shared" si="9"/>
        <v>2071</v>
      </c>
      <c r="BC16" s="125">
        <f>IF(ISNUMBER(W16),W16," - ")</f>
        <v>189</v>
      </c>
      <c r="BD16" s="126">
        <f t="shared" ref="BD16" si="11">IF(ISNUMBER(BA16/AZ16),BA16/AZ16," - ")</f>
        <v>0.9854267869535045</v>
      </c>
      <c r="BE16" s="127">
        <f t="shared" ref="BE16" si="12">IF(ISNUMBER(BB16/BA16),BB16/BA16, " - ")</f>
        <v>1.4584507042253521</v>
      </c>
      <c r="BF16" s="127">
        <f t="shared" ref="BF16" si="13">IF(ISNUMBER(BC16/BA16),BC16/BA16, " - ")</f>
        <v>0.13309859154929576</v>
      </c>
      <c r="BG16" s="196">
        <f t="shared" si="10"/>
        <v>2.4809859154929579</v>
      </c>
      <c r="BH16" s="155">
        <v>7</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284</v>
      </c>
      <c r="J17" s="183">
        <v>124</v>
      </c>
      <c r="K17" s="183">
        <v>119</v>
      </c>
      <c r="L17" s="183">
        <v>289</v>
      </c>
      <c r="M17" s="183">
        <v>23</v>
      </c>
      <c r="N17" s="183">
        <v>66</v>
      </c>
      <c r="O17" s="183">
        <v>0</v>
      </c>
      <c r="P17" s="183">
        <v>0</v>
      </c>
      <c r="Q17" s="183">
        <v>0</v>
      </c>
      <c r="R17" s="183">
        <v>20</v>
      </c>
      <c r="S17" s="183">
        <v>210</v>
      </c>
      <c r="T17" s="183">
        <v>165</v>
      </c>
      <c r="U17" s="183">
        <v>159</v>
      </c>
      <c r="V17" s="183">
        <v>217</v>
      </c>
      <c r="W17" s="183">
        <v>22</v>
      </c>
      <c r="X17" s="189">
        <v>52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210</v>
      </c>
      <c r="AZ17" s="129">
        <f t="shared" si="14"/>
        <v>165</v>
      </c>
      <c r="BA17" s="129">
        <f t="shared" si="14"/>
        <v>159</v>
      </c>
      <c r="BB17" s="129">
        <f t="shared" si="14"/>
        <v>217</v>
      </c>
      <c r="BC17" s="125">
        <f>IF(ISNUMBER(W17),W17," - ")</f>
        <v>22</v>
      </c>
      <c r="BD17" s="126">
        <f>IF(ISNUMBER(BA17/AZ17),BA17/AZ17," - ")</f>
        <v>0.96363636363636362</v>
      </c>
      <c r="BE17" s="127">
        <f>IF(ISNUMBER(BB17/BA17),BB17/BA17, " - ")</f>
        <v>1.3647798742138364</v>
      </c>
      <c r="BF17" s="127">
        <f>IF(ISNUMBER(BC17/BA17),BC17/BA17, " - ")</f>
        <v>0.13836477987421383</v>
      </c>
      <c r="BG17" s="196">
        <f>IF(ISNUMBER((AY17+AZ17)/BA17),(AY17+AZ17)/BA17," - ")</f>
        <v>2.358490566037736</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2230</v>
      </c>
      <c r="J18" s="184">
        <f t="shared" si="15"/>
        <v>1549</v>
      </c>
      <c r="K18" s="184">
        <f t="shared" si="15"/>
        <v>1283</v>
      </c>
      <c r="L18" s="184">
        <f t="shared" si="15"/>
        <v>2457</v>
      </c>
      <c r="M18" s="184">
        <f t="shared" si="15"/>
        <v>199</v>
      </c>
      <c r="N18" s="184">
        <f t="shared" si="15"/>
        <v>698</v>
      </c>
      <c r="O18" s="184">
        <f t="shared" si="15"/>
        <v>17</v>
      </c>
      <c r="P18" s="184">
        <f t="shared" si="15"/>
        <v>56</v>
      </c>
      <c r="Q18" s="184">
        <f t="shared" si="15"/>
        <v>38</v>
      </c>
      <c r="R18" s="184">
        <f t="shared" si="15"/>
        <v>335</v>
      </c>
      <c r="S18" s="184">
        <f t="shared" si="15"/>
        <v>2292</v>
      </c>
      <c r="T18" s="184">
        <f t="shared" si="15"/>
        <v>1606</v>
      </c>
      <c r="U18" s="184">
        <f t="shared" si="15"/>
        <v>1579</v>
      </c>
      <c r="V18" s="184">
        <f t="shared" si="15"/>
        <v>2288</v>
      </c>
      <c r="W18" s="184">
        <f t="shared" si="15"/>
        <v>211</v>
      </c>
      <c r="X18" s="184">
        <f t="shared" si="15"/>
        <v>855</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8</v>
      </c>
      <c r="AP18" s="184">
        <f t="shared" si="15"/>
        <v>7</v>
      </c>
      <c r="AQ18" s="184">
        <f t="shared" si="15"/>
        <v>7</v>
      </c>
      <c r="AR18" s="184">
        <f t="shared" si="15"/>
        <v>7</v>
      </c>
      <c r="AS18" s="184">
        <f t="shared" si="15"/>
        <v>0</v>
      </c>
      <c r="AT18" s="184">
        <f t="shared" si="15"/>
        <v>0</v>
      </c>
      <c r="AU18" s="204"/>
      <c r="AV18" s="132"/>
      <c r="AW18" s="204"/>
      <c r="AX18" s="132"/>
      <c r="AY18" s="184">
        <f>SUBTOTAL(9,AY14:AY17)</f>
        <v>2292</v>
      </c>
      <c r="AZ18" s="184">
        <f>SUBTOTAL(9,AZ14:AZ17)</f>
        <v>1606</v>
      </c>
      <c r="BA18" s="184">
        <f>SUBTOTAL(9,BA14:BA17)</f>
        <v>1579</v>
      </c>
      <c r="BB18" s="184">
        <f>SUBTOTAL(9,BB14:BB17)</f>
        <v>2288</v>
      </c>
      <c r="BC18" s="184">
        <f>SUBTOTAL(9,BC14:BC17)</f>
        <v>211</v>
      </c>
      <c r="BD18" s="205">
        <f>IF(ISNUMBER(BA18/AZ18),BA18/AZ18," - ")</f>
        <v>0.98318804483188049</v>
      </c>
      <c r="BE18" s="206">
        <f>IF(ISNUMBER(BB18/BA18),BB18/BA18, " - ")</f>
        <v>1.4490183660544649</v>
      </c>
      <c r="BF18" s="206">
        <f>IF(ISNUMBER(BC18/BA18),BC18/BA18, " - ")</f>
        <v>0.13362887903736542</v>
      </c>
      <c r="BG18" s="207">
        <f>IF(ISNUMBER((AY18+AZ18)/BA18),(AY18+AZ18)/BA18," - ")</f>
        <v>2.468651044965168</v>
      </c>
      <c r="BH18" s="184">
        <f>SUBTOTAL(9,BH14:BH17)</f>
        <v>8</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7294</v>
      </c>
      <c r="J19" s="134">
        <f t="shared" si="18"/>
        <v>3056</v>
      </c>
      <c r="K19" s="134">
        <f t="shared" si="18"/>
        <v>3071</v>
      </c>
      <c r="L19" s="134">
        <f t="shared" si="18"/>
        <v>7190</v>
      </c>
      <c r="M19" s="134">
        <f t="shared" si="18"/>
        <v>576</v>
      </c>
      <c r="N19" s="134">
        <f t="shared" si="18"/>
        <v>1683</v>
      </c>
      <c r="O19" s="134">
        <f t="shared" si="18"/>
        <v>715</v>
      </c>
      <c r="P19" s="134">
        <f t="shared" si="18"/>
        <v>438</v>
      </c>
      <c r="Q19" s="134">
        <f t="shared" si="18"/>
        <v>218</v>
      </c>
      <c r="R19" s="134">
        <f t="shared" si="18"/>
        <v>4593</v>
      </c>
      <c r="S19" s="134">
        <f t="shared" si="18"/>
        <v>6767</v>
      </c>
      <c r="T19" s="134">
        <f t="shared" si="18"/>
        <v>2935</v>
      </c>
      <c r="U19" s="134">
        <f t="shared" si="18"/>
        <v>3002</v>
      </c>
      <c r="V19" s="134">
        <f t="shared" si="18"/>
        <v>6656</v>
      </c>
      <c r="W19" s="134">
        <f t="shared" si="18"/>
        <v>532</v>
      </c>
      <c r="X19" s="134">
        <f t="shared" si="18"/>
        <v>1584</v>
      </c>
      <c r="Y19" s="134">
        <f t="shared" si="18"/>
        <v>222</v>
      </c>
      <c r="Z19" s="134">
        <f t="shared" si="18"/>
        <v>191</v>
      </c>
      <c r="AA19" s="134">
        <f t="shared" si="18"/>
        <v>147</v>
      </c>
      <c r="AB19" s="134">
        <f t="shared" si="18"/>
        <v>258</v>
      </c>
      <c r="AC19" s="134">
        <f t="shared" si="18"/>
        <v>0</v>
      </c>
      <c r="AD19" s="134">
        <f t="shared" si="18"/>
        <v>0</v>
      </c>
      <c r="AE19" s="134">
        <f t="shared" si="18"/>
        <v>0</v>
      </c>
      <c r="AF19" s="134">
        <f t="shared" si="18"/>
        <v>0</v>
      </c>
      <c r="AG19" s="134">
        <f t="shared" si="18"/>
        <v>204</v>
      </c>
      <c r="AH19" s="134">
        <f t="shared" si="18"/>
        <v>148</v>
      </c>
      <c r="AI19" s="134">
        <f t="shared" si="18"/>
        <v>150</v>
      </c>
      <c r="AJ19" s="134">
        <f t="shared" si="18"/>
        <v>202</v>
      </c>
      <c r="AK19" s="134">
        <f t="shared" si="18"/>
        <v>0</v>
      </c>
      <c r="AL19" s="134">
        <f t="shared" si="18"/>
        <v>0</v>
      </c>
      <c r="AM19" s="134">
        <f t="shared" si="18"/>
        <v>0</v>
      </c>
      <c r="AN19" s="210">
        <f t="shared" si="18"/>
        <v>0</v>
      </c>
      <c r="AO19" s="211">
        <v>8</v>
      </c>
      <c r="AP19" s="211">
        <v>7</v>
      </c>
      <c r="AQ19" s="211">
        <v>7</v>
      </c>
      <c r="AR19" s="211">
        <v>7</v>
      </c>
      <c r="AS19" s="153">
        <f t="shared" si="18"/>
        <v>0</v>
      </c>
      <c r="AT19" s="153">
        <f t="shared" si="18"/>
        <v>0</v>
      </c>
      <c r="AU19" s="211"/>
      <c r="AV19" s="212"/>
      <c r="AW19" s="211"/>
      <c r="AX19" s="212"/>
      <c r="AY19" s="133">
        <f>SUBTOTAL(9,AY9:AY18)</f>
        <v>6971</v>
      </c>
      <c r="AZ19" s="134">
        <f>SUBTOTAL(9,AZ9:AZ18)</f>
        <v>3083</v>
      </c>
      <c r="BA19" s="134">
        <f>SUBTOTAL(9,BA9:BA18)</f>
        <v>3152</v>
      </c>
      <c r="BB19" s="134">
        <f>SUBTOTAL(9,BB9:BB18)</f>
        <v>6858</v>
      </c>
      <c r="BC19" s="135">
        <f>SUBTOTAL(9,BC9:BC18)</f>
        <v>948</v>
      </c>
      <c r="BD19" s="213">
        <f>IF(ISNUMBER(BA19/AZ19),BA19/AZ19," - ")</f>
        <v>1.0223807979241</v>
      </c>
      <c r="BE19" s="210">
        <f>IF(ISNUMBER(BB19/BA19),BB19/BA19, " - ")</f>
        <v>2.1757614213197969</v>
      </c>
      <c r="BF19" s="210">
        <f>IF(ISNUMBER(BC19/BA19),BC19/BA19, " - ")</f>
        <v>0.30076142131979694</v>
      </c>
      <c r="BG19" s="135">
        <f>IF(ISNUMBER((AY19+AZ19)/BA19),(AY19+AZ19)/BA19," - ")</f>
        <v>3.1897208121827409</v>
      </c>
      <c r="BH19" s="211">
        <f>SUBTOTAL(9,BH9:BH18)</f>
        <v>16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66xvHuUUVu9WZzlIJqDDH5vP/0oNHydbWwB8xts1Xwo5Y/W6ZMbihEcbcsQou9/Ng8lQFn/RRhbQsWfS5vYJg==" saltValue="7s3E8YMz3sZZpbfmI7exs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JGKCFu7Fsru8O1xdpSzLrsVXBU/g1YJ9Rs1LkJv93Fbzhh51obwx7D3Av1FMWkGOm6OCkScA1MQDL6qlaHfNw==" saltValue="SQTKH12XjDHRAylBmcgY/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SAGUNT-SAGUNTO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57</v>
      </c>
      <c r="G10" s="333">
        <f>IF(ISNUMBER(Datos!I10),Datos!I10," - ")</f>
        <v>57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6</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20</v>
      </c>
      <c r="AC10" s="226">
        <f>IF(ISNUMBER(Datos!Q10),Datos!Q10," - ")</f>
        <v>2</v>
      </c>
      <c r="AD10" s="334"/>
      <c r="AE10" s="484"/>
      <c r="AF10" s="332">
        <f>IF(ISNUMBER(Datos!L10),Datos!L10,"-")</f>
        <v>62</v>
      </c>
      <c r="AG10" s="334"/>
      <c r="AH10" s="334"/>
      <c r="AI10" s="334"/>
      <c r="AJ10" s="334"/>
      <c r="AK10" s="334"/>
      <c r="AL10" s="479"/>
      <c r="AM10" s="335">
        <f>IF(ISNUMBER(Datos!R10),Datos!R10," - ")</f>
        <v>13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16</v>
      </c>
      <c r="BD10" s="229">
        <f>IF(ISNUMBER(Datos!N10),Datos!N10," - ")</f>
        <v>4</v>
      </c>
      <c r="BE10" s="229" t="str">
        <f>IF(ISNUMBER(Datos!BW10),Datos!BW10," - ")</f>
        <v xml:space="preserve"> - </v>
      </c>
      <c r="BF10" s="228" t="str">
        <f>IF(ISNUMBER(Datos!BX10),Datos!BX10," - ")</f>
        <v xml:space="preserve"> - </v>
      </c>
      <c r="BG10" s="243">
        <f>IF(ISNUMBER(Datos!K10/Datos!J10),Datos!K10/Datos!J10," - ")</f>
        <v>0.8</v>
      </c>
      <c r="BH10" s="260">
        <f>IF(ISNUMBER(((Datos!L10/Datos!K10)*11)/factor_trimestre),((Datos!L10/Datos!K10)*11)/factor_trimestre," - ")</f>
        <v>9.3000000000000007</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0.44444444444444442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7</v>
      </c>
      <c r="B12" s="507" t="s">
        <v>246</v>
      </c>
      <c r="C12" s="7" t="str">
        <f>Datos!A12</f>
        <v xml:space="preserve">Jdos. 1ª Instª. e Instr.                        </v>
      </c>
      <c r="D12" s="508"/>
      <c r="E12" s="260">
        <f>IF(ISNUMBER(Datos!AQ12),Datos!AQ12," - ")</f>
        <v>7</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191</v>
      </c>
      <c r="O12" s="334"/>
      <c r="P12" s="334"/>
      <c r="Q12" s="226">
        <f>IF(ISNUMBER(Datos!P12),Datos!P12,0)</f>
        <v>376</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178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258</v>
      </c>
      <c r="AI12" s="334" t="str">
        <f>IF(ISNUMBER(Datos!CD12),Datos!CD12,"-")</f>
        <v>-</v>
      </c>
      <c r="AJ12" s="334" t="str">
        <f>IF(ISNUMBER(Datos!EN12),Datos!EN12," - ")</f>
        <v xml:space="preserve"> - </v>
      </c>
      <c r="AK12" s="334"/>
      <c r="AL12" s="479"/>
      <c r="AM12" s="335">
        <f>IF(ISNUMBER(Datos!R12),Datos!R12," - ")</f>
        <v>4245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361</v>
      </c>
      <c r="BD12" s="229">
        <f>IF(ISNUMBER(Datos!N12),Datos!N12," - ")</f>
        <v>981</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1.1446503287507472</v>
      </c>
      <c r="BH12" s="260">
        <f>IF(ISNUMBER(((IF(J_V="SI",Datos!L12/Datos!K12,(Datos!L12+Datos!AB12)/(Datos!K12+Datos!AA12)))*11)/factor_trimestre),((IF(J_V="SI",Datos!L12/Datos!K12,(Datos!L12+Datos!AB12)/(Datos!K12+Datos!AA12)))*11)/factor_trimestre," - ")</f>
        <v>7.7216710182767629</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4.8925129725722757E-2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7</v>
      </c>
      <c r="F13" s="898">
        <f t="shared" si="0"/>
        <v>57</v>
      </c>
      <c r="G13" s="898">
        <f t="shared" si="0"/>
        <v>57</v>
      </c>
      <c r="H13" s="899">
        <f t="shared" si="0"/>
        <v>0</v>
      </c>
      <c r="I13" s="898">
        <f t="shared" si="0"/>
        <v>0</v>
      </c>
      <c r="J13" s="867">
        <f t="shared" si="0"/>
        <v>0</v>
      </c>
      <c r="K13" s="867">
        <f t="shared" si="0"/>
        <v>0</v>
      </c>
      <c r="L13" s="899">
        <f t="shared" si="0"/>
        <v>0</v>
      </c>
      <c r="M13" s="899">
        <f t="shared" si="0"/>
        <v>0</v>
      </c>
      <c r="N13" s="899">
        <f t="shared" si="0"/>
        <v>191</v>
      </c>
      <c r="O13" s="900">
        <f t="shared" si="0"/>
        <v>0</v>
      </c>
      <c r="P13" s="900">
        <f t="shared" si="0"/>
        <v>0</v>
      </c>
      <c r="Q13" s="899">
        <f t="shared" si="0"/>
        <v>382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20</v>
      </c>
      <c r="AC13" s="899">
        <f t="shared" si="1"/>
        <v>180</v>
      </c>
      <c r="AD13" s="899">
        <f t="shared" si="1"/>
        <v>0</v>
      </c>
      <c r="AE13" s="899">
        <f t="shared" si="1"/>
        <v>0</v>
      </c>
      <c r="AF13" s="899">
        <f t="shared" si="1"/>
        <v>62</v>
      </c>
      <c r="AG13" s="899">
        <f t="shared" si="1"/>
        <v>0</v>
      </c>
      <c r="AH13" s="899">
        <f t="shared" si="1"/>
        <v>258</v>
      </c>
      <c r="AI13" s="899">
        <f t="shared" si="1"/>
        <v>0</v>
      </c>
      <c r="AJ13" s="899">
        <f t="shared" si="1"/>
        <v>0</v>
      </c>
      <c r="AK13" s="899">
        <f t="shared" si="1"/>
        <v>0</v>
      </c>
      <c r="AL13" s="899">
        <f t="shared" si="1"/>
        <v>0</v>
      </c>
      <c r="AM13" s="899">
        <f t="shared" si="1"/>
        <v>4258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377</v>
      </c>
      <c r="BD13" s="899">
        <f t="shared" si="1"/>
        <v>985</v>
      </c>
      <c r="BE13" s="899">
        <f t="shared" si="1"/>
        <v>0</v>
      </c>
      <c r="BF13" s="899">
        <f t="shared" si="1"/>
        <v>0</v>
      </c>
      <c r="BG13" s="899">
        <f>IF(ISNUMBER(Datos!K13/Datos!J13),Datos!K13/Datos!J13," - ")</f>
        <v>1.1864631718646317</v>
      </c>
      <c r="BH13" s="903">
        <f>IF(ISNUMBER(((Datos!L13/Datos!K13)*11)/factor_trimestre),((Datos!L13/Datos!K13)*11)/factor_trimestre," - ")</f>
        <v>7.9412751677852347</v>
      </c>
      <c r="BI13" s="899">
        <f>IF(ISNUMBER('Resol  Asuntos'!D13/NºAsuntos!G13),'Resol  Asuntos'!D13/NºAsuntos!G13," - ")</f>
        <v>0.19483204134366924</v>
      </c>
      <c r="BJ13" s="899" t="str">
        <f>IF(ISNUMBER(Datos!CI13/Datos!CJ13),Datos!CI13/Datos!CJ13," - ")</f>
        <v xml:space="preserve"> - </v>
      </c>
      <c r="BK13" s="899">
        <f>SUBTOTAL(9,BK8:BK12)</f>
        <v>0</v>
      </c>
      <c r="BL13" s="899">
        <f>IF(ISNUMBER((I13-AB13+L13)/(F13)),(I13-AB13+L13)/(F13)," - ")</f>
        <v>-0.35087719298245612</v>
      </c>
      <c r="BM13" s="904">
        <f>SUBTOTAL(9,BM9:BM12)</f>
        <v>0.49336957417016719</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7</v>
      </c>
      <c r="B16" s="594" t="s">
        <v>396</v>
      </c>
      <c r="C16" s="600" t="str">
        <f>Datos!A16</f>
        <v xml:space="preserve">Jdos. 1ª Instª. e Instr.                        </v>
      </c>
      <c r="D16" s="601"/>
      <c r="E16" s="1165">
        <f>IF(ISNUMBER(Datos!AQ16),Datos!AQ16," - ")</f>
        <v>7</v>
      </c>
      <c r="F16" s="595">
        <f>IF(ISNUMBER(AF16+AB16-Datos!J16-L16),AF16+AB16-Datos!J16-L16," - ")</f>
        <v>1907</v>
      </c>
      <c r="G16" s="598">
        <f>IF(ISNUMBER(IF(D_I="SI",Datos!I16,Datos!I16+Datos!AC16)),IF(D_I="SI",Datos!I16,Datos!I16+Datos!AC16)," - ")</f>
        <v>1946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56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1164</v>
      </c>
      <c r="AC16" s="226">
        <f>IF(ISNUMBER(Datos!Q16),Datos!Q16," - ")</f>
        <v>38</v>
      </c>
      <c r="AD16" s="334"/>
      <c r="AE16" s="484"/>
      <c r="AF16" s="596">
        <f>IF(ISNUMBER(IF(D_I="SI",Datos!L16,Datos!L16+Datos!AF16)),IF(D_I="SI",Datos!L16,Datos!L16+Datos!AF16)," - ")</f>
        <v>2168</v>
      </c>
      <c r="AG16" s="334"/>
      <c r="AH16" s="334"/>
      <c r="AI16" s="334"/>
      <c r="AJ16" s="334"/>
      <c r="AK16" s="334"/>
      <c r="AL16" s="479"/>
      <c r="AM16" s="335">
        <f>IF(ISNUMBER(Datos!R16),Datos!R16," - ")</f>
        <v>315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176</v>
      </c>
      <c r="BD16" s="229">
        <f>IF(ISNUMBER(Datos!N16),Datos!N16," - ")</f>
        <v>632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0.81684210526315792</v>
      </c>
      <c r="BH16" s="260">
        <f>IF(ISNUMBER(((IF(D_I="SI",Datos!L16/Datos!K16,(Datos!L16+Datos!AF16)/(Datos!K16+Datos!AE16)))*11)/factor_trimestre),((IF(D_I="SI",Datos!L16/Datos!K16,(Datos!L16+Datos!AF16)/(Datos!K16+Datos!AE16)))*11)/factor_trimestre," - ")</f>
        <v>5.587628865979382</v>
      </c>
      <c r="BI16" s="243">
        <f>IF(ISNUMBER('Resol  Asuntos'!D16/NºAsuntos!G16),'Resol  Asuntos'!D16/NºAsuntos!G16," - ")</f>
        <v>0.15120274914089346</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284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119</v>
      </c>
      <c r="AC17" s="226">
        <f>IF(ISNUMBER(Datos!Q17),Datos!Q17," - ")</f>
        <v>0</v>
      </c>
      <c r="AD17" s="334"/>
      <c r="AE17" s="484"/>
      <c r="AF17" s="332">
        <f>IF(ISNUMBER(Datos!L17),Datos!L17,"-")</f>
        <v>289</v>
      </c>
      <c r="AG17" s="334"/>
      <c r="AH17" s="334"/>
      <c r="AI17" s="334"/>
      <c r="AJ17" s="334"/>
      <c r="AK17" s="334"/>
      <c r="AL17" s="479"/>
      <c r="AM17" s="335">
        <f>IF(ISNUMBER(Datos!R17),Datos!R17," - ")</f>
        <v>20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23</v>
      </c>
      <c r="BD17" s="229">
        <f>IF(ISNUMBER(Datos!N17),Datos!N17," - ")</f>
        <v>66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0.95967741935483875</v>
      </c>
      <c r="BH17" s="260">
        <f>IF(ISNUMBER(((IF(D_I="SI",Datos!L17/Datos!K17,(Datos!L17+Datos!AF17)/(Datos!K17+Datos!AE17)))*11)/factor_trimestre),((IF(D_I="SI",Datos!L17/Datos!K17,(Datos!L17+Datos!AF17)/(Datos!K17+Datos!AE17)))*11)/factor_trimestre," - ")</f>
        <v>7.2857142857142856</v>
      </c>
      <c r="BI17" s="243">
        <f>IF(ISNUMBER('Resol  Asuntos'!D17/NºAsuntos!G17),'Resol  Asuntos'!D17/NºAsuntos!G17," - ")</f>
        <v>0.19327731092436976</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7</v>
      </c>
      <c r="F18" s="898">
        <f>SUBTOTAL(9,F15:F17)</f>
        <v>1907</v>
      </c>
      <c r="G18" s="898">
        <f>SUBTOTAL(9,G15:G17)</f>
        <v>2230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56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1283</v>
      </c>
      <c r="AC18" s="899">
        <f t="shared" si="4"/>
        <v>38</v>
      </c>
      <c r="AD18" s="899">
        <f t="shared" si="4"/>
        <v>0</v>
      </c>
      <c r="AE18" s="899">
        <f t="shared" si="4"/>
        <v>0</v>
      </c>
      <c r="AF18" s="899">
        <f t="shared" si="4"/>
        <v>2457</v>
      </c>
      <c r="AG18" s="899">
        <f t="shared" si="4"/>
        <v>0</v>
      </c>
      <c r="AH18" s="899">
        <f t="shared" si="4"/>
        <v>0</v>
      </c>
      <c r="AI18" s="899">
        <f t="shared" si="4"/>
        <v>0</v>
      </c>
      <c r="AJ18" s="899">
        <f t="shared" si="4"/>
        <v>0</v>
      </c>
      <c r="AK18" s="899">
        <f t="shared" si="4"/>
        <v>0</v>
      </c>
      <c r="AL18" s="899">
        <f t="shared" si="4"/>
        <v>0</v>
      </c>
      <c r="AM18" s="899">
        <f t="shared" si="4"/>
        <v>335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199</v>
      </c>
      <c r="BD18" s="899">
        <f t="shared" si="4"/>
        <v>698</v>
      </c>
      <c r="BE18" s="899">
        <f t="shared" si="4"/>
        <v>0</v>
      </c>
      <c r="BF18" s="899">
        <f t="shared" si="4"/>
        <v>0</v>
      </c>
      <c r="BG18" s="899">
        <f>IF(ISNUMBER(Datos!K18/Datos!J18),Datos!K18/Datos!J18," - ")</f>
        <v>0.8282763072950291</v>
      </c>
      <c r="BH18" s="903">
        <f>IF(ISNUMBER(((Datos!L18/Datos!K18)*11)/factor_trimestre),((Datos!L18/Datos!K18)*11)/factor_trimestre," - ")</f>
        <v>5.7451286048324244</v>
      </c>
      <c r="BI18" s="899">
        <f>SUBTOTAL(9,BI15:BI17)</f>
        <v>0.34448006006526322</v>
      </c>
      <c r="BJ18" s="899">
        <f>SUBTOTAL(9,BJ15:BJ17)</f>
        <v>0</v>
      </c>
      <c r="BK18" s="899">
        <f>SUBTOTAL(9,BK15:BK17)</f>
        <v>0</v>
      </c>
      <c r="BL18" s="899">
        <f>IF(ISNUMBER((I18-AB18+L18)/(F18)),(I18-AB18+L18)/(F18)," - ")</f>
        <v>-0.6727844782380703</v>
      </c>
      <c r="BM18" s="905">
        <f>IF(ISNUMBER((Datos!P18-Datos!Q18)/(Datos!R18-Datos!P18+Datos!Q18)),(Datos!P18-Datos!Q18)/(Datos!R18-Datos!P18+Datos!Q18)," - ")</f>
        <v>5.6782334384858045E-2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14</v>
      </c>
      <c r="F19" s="820">
        <f t="shared" si="6"/>
        <v>1964</v>
      </c>
      <c r="G19" s="820">
        <f t="shared" si="6"/>
        <v>2287</v>
      </c>
      <c r="H19" s="822">
        <f t="shared" si="6"/>
        <v>0</v>
      </c>
      <c r="I19" s="820">
        <f t="shared" si="6"/>
        <v>0</v>
      </c>
      <c r="J19" s="822">
        <f t="shared" si="6"/>
        <v>0</v>
      </c>
      <c r="K19" s="822">
        <f t="shared" si="6"/>
        <v>0</v>
      </c>
      <c r="L19" s="881">
        <f t="shared" si="6"/>
        <v>0</v>
      </c>
      <c r="M19" s="881">
        <f t="shared" si="6"/>
        <v>0</v>
      </c>
      <c r="N19" s="881">
        <f t="shared" si="6"/>
        <v>191</v>
      </c>
      <c r="O19" s="881">
        <f t="shared" si="6"/>
        <v>0</v>
      </c>
      <c r="P19" s="881">
        <f t="shared" si="6"/>
        <v>0</v>
      </c>
      <c r="Q19" s="822">
        <f t="shared" si="6"/>
        <v>438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1303</v>
      </c>
      <c r="AC19" s="821">
        <f t="shared" si="7"/>
        <v>218</v>
      </c>
      <c r="AD19" s="821">
        <f t="shared" si="7"/>
        <v>0</v>
      </c>
      <c r="AE19" s="821">
        <f t="shared" si="7"/>
        <v>0</v>
      </c>
      <c r="AF19" s="828">
        <f t="shared" si="7"/>
        <v>2519</v>
      </c>
      <c r="AG19" s="828">
        <f t="shared" si="7"/>
        <v>0</v>
      </c>
      <c r="AH19" s="828">
        <f t="shared" si="7"/>
        <v>258</v>
      </c>
      <c r="AI19" s="828">
        <f t="shared" si="7"/>
        <v>0</v>
      </c>
      <c r="AJ19" s="821">
        <f t="shared" si="7"/>
        <v>0</v>
      </c>
      <c r="AK19" s="828">
        <f t="shared" si="7"/>
        <v>0</v>
      </c>
      <c r="AL19" s="828">
        <f t="shared" si="7"/>
        <v>0</v>
      </c>
      <c r="AM19" s="828">
        <f t="shared" si="7"/>
        <v>4593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576</v>
      </c>
      <c r="BD19" s="820">
        <f t="shared" si="7"/>
        <v>1683</v>
      </c>
      <c r="BE19" s="820">
        <f t="shared" si="7"/>
        <v>0</v>
      </c>
      <c r="BF19" s="830">
        <f t="shared" si="7"/>
        <v>0</v>
      </c>
      <c r="BG19" s="915">
        <f>IF(ISNUMBER(Datos!K19/Datos!J19),Datos!K19/Datos!J19," - ")</f>
        <v>1.0049083769633509</v>
      </c>
      <c r="BH19" s="915">
        <f>IF(ISNUMBER(((Datos!L19/Datos!K19)*11)/factor_trimestre),((Datos!L19/Datos!K19)*11)/factor_trimestre," - ")</f>
        <v>7.0237707587105183</v>
      </c>
      <c r="BI19" s="813">
        <f>IF(ISNUMBER(Datos!J19/Datos!I19),Datos!J19/Datos!I19," - ")</f>
        <v>0.41897449958870303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-0.6634419551934827</v>
      </c>
      <c r="BM19" s="889">
        <f>IF(ISNUMBER((Datos!P19-Datos!Q19+R19)/(Datos!R19-Datos!P19+Datos!Q19-R19)),(Datos!P19-Datos!Q19+R19)/(Datos!R19-Datos!P19+Datos!Q19-R19)," - ")</f>
        <v>5.030871255431054E-2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914.8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3.6893239368631092</v>
      </c>
      <c r="F21" s="551">
        <f>IF(ISNUMBER(STDEV(F8:F18)),STDEV(F8:F18),"-")</f>
        <v>1068.0979980008076</v>
      </c>
      <c r="G21" s="552">
        <f>IF(ISNUMBER(STDEV(G8:G18)),STDEV(G8:G18),"-")</f>
        <v>1079.6613821008882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643.75826208290334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156.60651327451231</v>
      </c>
      <c r="BD21" s="551"/>
      <c r="BE21" s="551">
        <f>IF(ISNUMBER(STDEV(BE8:BE18)),STDEV(BE8:BE18),"-")</f>
        <v>0</v>
      </c>
      <c r="BF21" s="556">
        <f>IF(ISNUMBER(STDEV(BF8:BF18)),STDEV(BF8:BF18),"-")</f>
        <v>0</v>
      </c>
      <c r="BG21" s="775">
        <f>IF(ISNUMBER(STDEV(BG8:BG18)),STDEV(BG8:BG18),"-")</f>
        <v>0.17247028933266628</v>
      </c>
      <c r="BH21" s="776">
        <f>IF(ISNUMBER(STDEV(BH8:BH18)),STDEV(BH8:BH18),"-")</f>
        <v>1.4093346874989523</v>
      </c>
      <c r="BI21" s="249">
        <f>IF(ISNUMBER(STDEV(BI8:BI18)),STDEV(BI8:BI18),"-")</f>
        <v>8.4798349456854286E-2</v>
      </c>
      <c r="BJ21" s="230" t="str">
        <f>IF(ISNUMBER(BL21/BM21),BL21/BM21," - ")</f>
        <v xml:space="preserve"> - </v>
      </c>
      <c r="BK21" s="575"/>
      <c r="BL21" s="559">
        <f>IF(ISNUMBER(STDEV(BL8:BL18)),STDEV(BL8:BL18),"-")</f>
        <v>0.22762282431759717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b6EgNh4Kdpp2T5HBAEhFsvpR6IpcJF5KPJt3lrFYMtVPOyy00uYszv+m9qWXD6rx+akq+yWDgqJr9430Yqfm5Q==" saltValue="gGese4ZZN6TT3LDfyJOEk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VALENCIA  Resumenes por Partidos Judiciales  SAGUNT-SAGUNTO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57</v>
      </c>
      <c r="G10" s="225">
        <f>IF(ISNUMBER(Datos!I10),Datos!I10," - ")</f>
        <v>57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6</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20</v>
      </c>
      <c r="Z10" s="619">
        <f>IF(ISNUMBER(Datos!Q10),Datos!Q10," - ")</f>
        <v>2</v>
      </c>
      <c r="AA10" s="332">
        <f>IF(ISNUMBER(Datos!L10),Datos!L10,"-")</f>
        <v>62</v>
      </c>
      <c r="AB10" s="334"/>
      <c r="AC10" s="334"/>
      <c r="AD10" s="484"/>
      <c r="AE10" s="484">
        <f>IF(ISNUMBER(Datos!R10),Datos!R10," - ")</f>
        <v>13</v>
      </c>
      <c r="AF10" s="229" t="str">
        <f>IF(ISNUMBER(Datos!BV10),Datos!BV10," - ")</f>
        <v xml:space="preserve"> - </v>
      </c>
      <c r="AG10" s="225" t="str">
        <f>IF(ISNUMBER(Datos!DV10),Datos!DV10," - ")</f>
        <v xml:space="preserve"> - </v>
      </c>
      <c r="AH10" s="298"/>
      <c r="AI10" s="227"/>
      <c r="AJ10" s="225">
        <f>IF(ISNUMBER(Datos!M10),Datos!M10," - ")</f>
        <v>16</v>
      </c>
      <c r="AK10" s="229">
        <f>IF(ISNUMBER(Datos!N10),Datos!N10," - ")</f>
        <v>4</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9.3000000000000007</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0.44444444444444442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7</v>
      </c>
      <c r="B12" s="507" t="s">
        <v>246</v>
      </c>
      <c r="C12" s="7" t="str">
        <f>Datos!A12</f>
        <v xml:space="preserve">Jdos. 1ª Instª. e Instr.                        </v>
      </c>
      <c r="D12" s="508"/>
      <c r="E12" s="1168">
        <f>IF(ISNUMBER(Datos!AQ12),Datos!AQ12," - ")</f>
        <v>7</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376</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178</v>
      </c>
      <c r="AA12" s="332" t="str">
        <f>IF(ISNUMBER(IF(J_V="SI",Datos!L12,Datos!L12+Datos!AB12)-IF(Monitorios="SI",Datos!CD12,0)),
                          IF(J_V="SI",Datos!L12,Datos!L12+Datos!AB12)-IF(Monitorios="SI",Datos!CD12,0),
                          " - ")</f>
        <v xml:space="preserve"> - </v>
      </c>
      <c r="AB12" s="334"/>
      <c r="AC12" s="334"/>
      <c r="AD12" s="484"/>
      <c r="AE12" s="484">
        <f>IF(ISNUMBER(Datos!R12),Datos!R12," - ")</f>
        <v>4245</v>
      </c>
      <c r="AF12" s="229" t="str">
        <f>IF(ISNUMBER(Datos!BV12),Datos!BV12," - ")</f>
        <v xml:space="preserve"> - </v>
      </c>
      <c r="AG12" s="225" t="str">
        <f>IF(ISNUMBER(Datos!DV12),Datos!DV12," - ")</f>
        <v xml:space="preserve"> - </v>
      </c>
      <c r="AH12" s="298"/>
      <c r="AI12" s="227"/>
      <c r="AJ12" s="225">
        <f>IF(ISNUMBER(Datos!M12),Datos!M12," - ")</f>
        <v>361</v>
      </c>
      <c r="AK12" s="229">
        <f>IF(ISNUMBER(Datos!N12),Datos!N12," - ")</f>
        <v>981</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7.7216710182767629</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4.8925129725722757E-2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7</v>
      </c>
      <c r="F13" s="898">
        <f>SUBTOTAL(9,F8:F12)</f>
        <v>57</v>
      </c>
      <c r="G13" s="898">
        <f>SUBTOTAL(9,G8:G12)</f>
        <v>57</v>
      </c>
      <c r="H13" s="908"/>
      <c r="I13" s="898">
        <f t="shared" ref="I13:N13" si="0">SUBTOTAL(9,I8:I12)</f>
        <v>0</v>
      </c>
      <c r="J13" s="867">
        <f t="shared" si="0"/>
        <v>0</v>
      </c>
      <c r="K13" s="908">
        <f t="shared" si="0"/>
        <v>0</v>
      </c>
      <c r="L13" s="908">
        <f t="shared" si="0"/>
        <v>0</v>
      </c>
      <c r="M13" s="908">
        <f t="shared" si="0"/>
        <v>0</v>
      </c>
      <c r="N13" s="908">
        <f t="shared" si="0"/>
        <v>382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20</v>
      </c>
      <c r="Z13" s="907">
        <f t="shared" si="2"/>
        <v>180</v>
      </c>
      <c r="AA13" s="900">
        <f t="shared" si="2"/>
        <v>62</v>
      </c>
      <c r="AB13" s="900">
        <f t="shared" si="2"/>
        <v>0</v>
      </c>
      <c r="AC13" s="900">
        <f t="shared" si="2"/>
        <v>0</v>
      </c>
      <c r="AD13" s="900">
        <f t="shared" si="2"/>
        <v>0</v>
      </c>
      <c r="AE13" s="900">
        <f t="shared" si="2"/>
        <v>4258</v>
      </c>
      <c r="AF13" s="908">
        <f t="shared" si="2"/>
        <v>0</v>
      </c>
      <c r="AG13" s="908">
        <f t="shared" si="2"/>
        <v>0</v>
      </c>
      <c r="AH13" s="908">
        <f t="shared" si="2"/>
        <v>0</v>
      </c>
      <c r="AI13" s="908">
        <f t="shared" si="2"/>
        <v>0</v>
      </c>
      <c r="AJ13" s="908">
        <f t="shared" si="2"/>
        <v>377</v>
      </c>
      <c r="AK13" s="908">
        <f t="shared" si="2"/>
        <v>985</v>
      </c>
      <c r="AL13" s="908">
        <f t="shared" si="2"/>
        <v>0</v>
      </c>
      <c r="AM13" s="908">
        <f t="shared" si="2"/>
        <v>0</v>
      </c>
      <c r="AN13" s="908">
        <f t="shared" si="2"/>
        <v>0</v>
      </c>
      <c r="AO13" s="904">
        <f>IF(ISNUMBER(((NºAsuntos!I13/NºAsuntos!G13)*11)/factor_trimestre),((NºAsuntos!I13/NºAsuntos!G13)*11)/factor_trimestre," - ")</f>
        <v>7.7379844961240316</v>
      </c>
      <c r="AP13" s="910" t="str">
        <f>IF(ISNUMBER(Datos!CI13/Datos!CJ13),Datos!CI13/Datos!CJ13," - ")</f>
        <v xml:space="preserve"> - </v>
      </c>
      <c r="AQ13" s="928">
        <f t="shared" ref="AQ13:AV13" si="3">SUBTOTAL(9,AQ9:AQ12)</f>
        <v>0</v>
      </c>
      <c r="AR13" s="928">
        <f t="shared" si="3"/>
        <v>0.49336957417016719</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7</v>
      </c>
      <c r="B16" s="507" t="s">
        <v>396</v>
      </c>
      <c r="C16" s="160" t="str">
        <f>Datos!A16</f>
        <v xml:space="preserve">Jdos. 1ª Instª. e Instr.                        </v>
      </c>
      <c r="D16" s="502"/>
      <c r="E16" s="1168">
        <f>IF(ISNUMBER(Datos!AQ16),Datos!AQ16," - ")</f>
        <v>7</v>
      </c>
      <c r="F16" s="333">
        <f>IF(ISNUMBER(AA16+Y16-Datos!J16-K15),AA16+Y16-Datos!J16-K15," - ")</f>
        <v>1907</v>
      </c>
      <c r="G16" s="225">
        <f>IF(ISNUMBER(IF(D_I="SI",Datos!I16,Datos!I16+Datos!AC16)),IF(D_I="SI",Datos!I16,Datos!I16+Datos!AC16)," - ")</f>
        <v>1946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56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1164</v>
      </c>
      <c r="Z16" s="619">
        <f>IF(ISNUMBER(Datos!Q16),Datos!Q16," - ")</f>
        <v>38</v>
      </c>
      <c r="AA16" s="332">
        <f>IF(ISNUMBER(IF(D_I="SI",Datos!L16,Datos!L16+Datos!AF16)),IF(D_I="SI",Datos!L16,Datos!L16+Datos!AF16)," - ")</f>
        <v>2168</v>
      </c>
      <c r="AB16" s="334"/>
      <c r="AC16" s="334"/>
      <c r="AD16" s="484"/>
      <c r="AE16" s="484">
        <f>IF(ISNUMBER(Datos!R16),Datos!R16," - ")</f>
        <v>315</v>
      </c>
      <c r="AF16" s="229" t="str">
        <f>IF(ISNUMBER(Datos!BV16),Datos!BV16," - ")</f>
        <v xml:space="preserve"> - </v>
      </c>
      <c r="AG16" s="225"/>
      <c r="AH16" s="298"/>
      <c r="AI16" s="227"/>
      <c r="AJ16" s="225">
        <f>IF(ISNUMBER(Datos!M16),Datos!M16," - ")</f>
        <v>176</v>
      </c>
      <c r="AK16" s="229">
        <f>IF(ISNUMBER(Datos!N16),Datos!N16," - ")</f>
        <v>632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5.587628865979382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284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119</v>
      </c>
      <c r="Z17" s="619">
        <f>IF(ISNUMBER(Datos!Q17),Datos!Q17," - ")</f>
        <v>0</v>
      </c>
      <c r="AA17" s="332">
        <f>IF(ISNUMBER(Datos!L17),Datos!L17,"-")</f>
        <v>289</v>
      </c>
      <c r="AB17" s="334"/>
      <c r="AC17" s="334"/>
      <c r="AD17" s="484"/>
      <c r="AE17" s="484">
        <f>IF(ISNUMBER(Datos!R17),Datos!R17," - ")</f>
        <v>20</v>
      </c>
      <c r="AF17" s="229" t="str">
        <f>IF(ISNUMBER(Datos!BV17),Datos!BV17," - ")</f>
        <v xml:space="preserve"> - </v>
      </c>
      <c r="AG17" s="225" t="str">
        <f>IF(ISNUMBER(Datos!DV17),Datos!DV17," - ")</f>
        <v xml:space="preserve"> - </v>
      </c>
      <c r="AH17" s="298"/>
      <c r="AI17" s="227"/>
      <c r="AJ17" s="225">
        <f>IF(ISNUMBER(Datos!M17),Datos!M17," - ")</f>
        <v>23</v>
      </c>
      <c r="AK17" s="229">
        <f>IF(ISNUMBER(Datos!N17),Datos!N17," - ")</f>
        <v>66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7.2857142857142856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7</v>
      </c>
      <c r="F18" s="898">
        <f>SUBTOTAL(9,F15:F17)</f>
        <v>1907</v>
      </c>
      <c r="G18" s="898">
        <f>SUBTOTAL(9,G15:G17)</f>
        <v>2230</v>
      </c>
      <c r="H18" s="932">
        <f>SUBTOTAL(9,H15:H17)</f>
        <v>0</v>
      </c>
      <c r="I18" s="911">
        <f>SUBTOTAL(9,I15:I17)</f>
        <v>0</v>
      </c>
      <c r="J18" s="867">
        <f>SUBTOTAL(9,J14:J17)</f>
        <v>0</v>
      </c>
      <c r="K18" s="932">
        <f t="shared" ref="K18:S18" si="4">SUBTOTAL(9,K15:K17)</f>
        <v>0</v>
      </c>
      <c r="L18" s="932">
        <f t="shared" si="4"/>
        <v>0</v>
      </c>
      <c r="M18" s="932">
        <f t="shared" si="4"/>
        <v>0</v>
      </c>
      <c r="N18" s="932">
        <f t="shared" si="4"/>
        <v>56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1283</v>
      </c>
      <c r="Z18" s="932">
        <f t="shared" si="5"/>
        <v>38</v>
      </c>
      <c r="AA18" s="932">
        <f t="shared" si="5"/>
        <v>2457</v>
      </c>
      <c r="AB18" s="932">
        <f t="shared" si="5"/>
        <v>0</v>
      </c>
      <c r="AC18" s="932">
        <f t="shared" si="5"/>
        <v>0</v>
      </c>
      <c r="AD18" s="932">
        <f t="shared" si="5"/>
        <v>0</v>
      </c>
      <c r="AE18" s="932">
        <f t="shared" si="5"/>
        <v>335</v>
      </c>
      <c r="AF18" s="932">
        <f t="shared" si="5"/>
        <v>0</v>
      </c>
      <c r="AG18" s="932">
        <f t="shared" si="5"/>
        <v>0</v>
      </c>
      <c r="AH18" s="932">
        <f t="shared" si="5"/>
        <v>0</v>
      </c>
      <c r="AI18" s="932">
        <f t="shared" si="5"/>
        <v>0</v>
      </c>
      <c r="AJ18" s="932">
        <f t="shared" si="5"/>
        <v>199</v>
      </c>
      <c r="AK18" s="932">
        <f t="shared" si="5"/>
        <v>698</v>
      </c>
      <c r="AL18" s="932">
        <f t="shared" si="5"/>
        <v>0</v>
      </c>
      <c r="AM18" s="932">
        <f t="shared" si="5"/>
        <v>0</v>
      </c>
      <c r="AN18" s="932">
        <f t="shared" si="5"/>
        <v>0</v>
      </c>
      <c r="AO18" s="934">
        <f>IF(ISNUMBER(((NºAsuntos!I18/NºAsuntos!G18)*11)/factor_trimestre),((NºAsuntos!I18/NºAsuntos!G18)*11)/factor_trimestre," - ")</f>
        <v>5.7451286048324244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14</v>
      </c>
      <c r="F19" s="820">
        <f t="shared" si="7"/>
        <v>1964</v>
      </c>
      <c r="G19" s="820">
        <f t="shared" si="7"/>
        <v>2287</v>
      </c>
      <c r="H19" s="821">
        <f t="shared" si="7"/>
        <v>0</v>
      </c>
      <c r="I19" s="820">
        <f t="shared" si="7"/>
        <v>0</v>
      </c>
      <c r="J19" s="822">
        <f t="shared" si="7"/>
        <v>0</v>
      </c>
      <c r="K19" s="820">
        <f t="shared" si="7"/>
        <v>0</v>
      </c>
      <c r="L19" s="823">
        <f t="shared" si="7"/>
        <v>0</v>
      </c>
      <c r="M19" s="820">
        <f t="shared" si="7"/>
        <v>0</v>
      </c>
      <c r="N19" s="821">
        <f t="shared" si="7"/>
        <v>438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1303</v>
      </c>
      <c r="Z19" s="827">
        <f t="shared" si="8"/>
        <v>218</v>
      </c>
      <c r="AA19" s="828">
        <f t="shared" si="8"/>
        <v>2519</v>
      </c>
      <c r="AB19" s="828">
        <f t="shared" si="8"/>
        <v>0</v>
      </c>
      <c r="AC19" s="828">
        <f t="shared" si="8"/>
        <v>0</v>
      </c>
      <c r="AD19" s="829">
        <f t="shared" si="8"/>
        <v>0</v>
      </c>
      <c r="AE19" s="829">
        <f t="shared" si="8"/>
        <v>4593</v>
      </c>
      <c r="AF19" s="830">
        <f t="shared" si="8"/>
        <v>0</v>
      </c>
      <c r="AG19" s="831">
        <f t="shared" si="8"/>
        <v>0</v>
      </c>
      <c r="AH19" s="832">
        <f t="shared" si="8"/>
        <v>0</v>
      </c>
      <c r="AI19" s="830">
        <f t="shared" si="8"/>
        <v>0</v>
      </c>
      <c r="AJ19" s="820">
        <f t="shared" si="8"/>
        <v>576</v>
      </c>
      <c r="AK19" s="820">
        <f t="shared" si="8"/>
        <v>1683</v>
      </c>
      <c r="AL19" s="820">
        <f t="shared" si="8"/>
        <v>0</v>
      </c>
      <c r="AM19" s="833">
        <f t="shared" si="8"/>
        <v>0</v>
      </c>
      <c r="AN19" s="823">
        <f>IF(ISNUMBER(Datos!K19/Datos!J19),Datos!K19/Datos!J19," - ")</f>
        <v>1.0049083769633509</v>
      </c>
      <c r="AO19" s="823">
        <f>IF(ISNUMBER(FIND("06",Criterios!A8,1)),(IF(ISNUMBER(((Datos!R19/Datos!Q19)*11)/factor_trimestre),((Datos!R19/Datos!Q19)*11)/factor_trimestre," - ")),(IF(ISNUMBER(((Datos!L19/Datos!K19)*11)/factor_trimestre),((Datos!L19/Datos!K19)*11)/factor_trimestre," - ")))</f>
        <v>7.0237707587105183</v>
      </c>
      <c r="AP19" s="834" t="str">
        <f>IF(ISNUMBER(Datos!CI19/Datos!CJ19),Datos!CI19/Datos!CJ19," - ")</f>
        <v xml:space="preserve"> - </v>
      </c>
      <c r="AQ19" s="834">
        <f>IF(OR(ISNUMBER(FIND("01",Criterios!A8,1)),ISNUMBER(FIND("02",Criterios!A8,1)),ISNUMBER(FIND("03",Criterios!A8,1)),ISNUMBER(FIND("04",Criterios!A8,1))),(J19-Y19+K19)/(F19-K19),(I19-Y19+K19)/(F19-K19))</f>
        <v>-0.6634419551934827</v>
      </c>
      <c r="AR19" s="834">
        <f>IF(ISNUMBER((Datos!P19-Datos!Q19+O19)/(Datos!R19-Datos!P19+Datos!Q19-O19)),(Datos!P19-Datos!Q19+O19)/(Datos!R19-Datos!P19+Datos!Q19-O19)," - ")</f>
        <v>5.030871255431054E-2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914.8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1068.0979980008076</v>
      </c>
      <c r="G21" s="552">
        <f>IF(ISNUMBER(STDEV(G8:G18)),STDEV(G8:G18),"-")</f>
        <v>1079.6613821008882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156.60651327451231</v>
      </c>
      <c r="AK21" s="252"/>
      <c r="AL21" s="252">
        <f>IF(ISNUMBER(STDEV(AL8:AL18)),STDEV(AL8:AL18),"-")</f>
        <v>0</v>
      </c>
      <c r="AM21" s="254">
        <f>IF(ISNUMBER(STDEV(AM8:AM18)),STDEV(AM8:AM18),"-")</f>
        <v>0</v>
      </c>
      <c r="AN21" s="539">
        <f>IF(ISNUMBER(STDEV(AN8:AN18)),STDEV(AN8:AN18),"-")</f>
        <v>0</v>
      </c>
      <c r="AO21" s="540">
        <f>IF(ISNUMBER(STDEV(AO8:AO18)),STDEV(AO8:AO18),"-")</f>
        <v>1.392121987304298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hVu3GkAOFeAjexf7XLG8gVrx7sNjB8mOGT3Mo2djuM5Ioen+gtx8C05oEBMkqfOTcMYKBYdCwkLfioNiJ2h75g==" saltValue="YdHYF9WVwntP2JOPHZzN+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4/8LB6F4S8y1doKt8u/iYrvSj4iJiy22lby8aNgv88qPZE0aZwgzMWZ7PbOHOK71l+zD/XRy9dMeGTQueWMSiA==" saltValue="2gJcpwvVdIHLBC4bqdg94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9CLiu5nMNR4rmxUmPk0VOzoIEqkbvFzy6jVSdc83gWS10YIHuOeTI2aiFj8oAC5AGCsmfJ1lT+ex7imU+K/9w==" saltValue="KUdpyuvYTm4gV1gnv4zAi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SAGUNT-SAGUNTO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0.19483204134366924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0.1377670576265263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Y6Q3/SBZR1ItDoV6YXRC4grWc1iRcDjNwQ4KPtXzfV9yeFSIUfWD9qQFHoIpDXLqRffFiTVdpimw79dwHPHDSw==" saltValue="5CrL2bg+olNWTD8N4ZJfy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k0QoAS90kJaR81Au8cH/dHy0fri1R3teirVzxkQI8SXjeSNsVS9M3UiNeq4C92UkMFV1ipH4oAJopf727yo7Aw==" saltValue="a7Ml+9xtoE0sfOJbNHD1I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VALENCIA</v>
      </c>
      <c r="D3" s="375"/>
      <c r="E3" s="375"/>
      <c r="F3" s="375"/>
      <c r="BQ3" s="471"/>
    </row>
    <row r="4" spans="1:69" ht="13.5" thickBot="1">
      <c r="A4" s="375"/>
      <c r="B4" s="391" t="str">
        <f>Criterios!A11 &amp;"  "&amp;Criterios!B11</f>
        <v>Resumenes por Partidos Judiciales  SAGUNT-SAGUNTO</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57</v>
      </c>
      <c r="D10" s="404">
        <f>IF(ISNUMBER(C10/Datos!BH10),C10/Datos!BH10," - ")</f>
        <v>57</v>
      </c>
      <c r="E10" s="403">
        <f>IF(ISNUMBER(Datos!J10),Datos!J10," - ")</f>
        <v>25</v>
      </c>
      <c r="F10" s="404">
        <f>IF(ISNUMBER(E10/B10),E10/B10," - ")</f>
        <v>25</v>
      </c>
      <c r="G10" s="403">
        <f>IF(ISNUMBER(Datos!K10),Datos!K10," - ")</f>
        <v>20</v>
      </c>
      <c r="H10" s="404">
        <f>IF(ISNUMBER(G10/B10),G10/B10," - ")</f>
        <v>20</v>
      </c>
      <c r="I10" s="403">
        <f>IF(ISNUMBER(Datos!L10),Datos!L10," - ")</f>
        <v>62</v>
      </c>
      <c r="J10" s="404">
        <f>IF(ISNUMBER(I10/B10),I10/B10," - ")</f>
        <v>62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7</v>
      </c>
      <c r="C12" s="403">
        <f>IF(ISNUMBER(IF(J_V="SI",Datos!I12,Datos!I12+Datos!Y12)),IF(J_V="SI",Datos!I12,Datos!I12+Datos!Y12)," - ")</f>
        <v>5229</v>
      </c>
      <c r="D12" s="404">
        <f>IF(ISNUMBER(C12/Datos!BH12),C12/Datos!BH12," - ")</f>
        <v>747</v>
      </c>
      <c r="E12" s="403">
        <f>IF(ISNUMBER(IF(J_V="SI",Datos!J12,Datos!J12+Datos!Z12)),IF(J_V="SI",Datos!J12,Datos!J12+Datos!Z12)," - ")</f>
        <v>1673</v>
      </c>
      <c r="F12" s="404">
        <f>IF(ISNUMBER(E12/B12),E12/B12," - ")</f>
        <v>239</v>
      </c>
      <c r="G12" s="403">
        <f>IF(ISNUMBER(IF(J_V="SI",Datos!K12,Datos!K12+Datos!AA12)),IF(J_V="SI",Datos!K12,Datos!K12+Datos!AA12)," - ")</f>
        <v>1915</v>
      </c>
      <c r="H12" s="404">
        <f>IF(ISNUMBER(G12/B12),G12/B12," - ")</f>
        <v>273.57142857142856</v>
      </c>
      <c r="I12" s="403">
        <f>IF(ISNUMBER(IF(J_V="SI",Datos!L12,Datos!L12+Datos!AB12)),IF(J_V="SI",Datos!L12,Datos!L12+Datos!AB12)," - ")</f>
        <v>4929</v>
      </c>
      <c r="J12" s="404">
        <f>IF(ISNUMBER(I12/B12),I12/B12," - ")</f>
        <v>704.14285714285711</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7</v>
      </c>
      <c r="C13" s="849">
        <f>SUBTOTAL(9,C8:C12)</f>
        <v>5286</v>
      </c>
      <c r="D13" s="850" t="str">
        <f>IF(ISNUMBER(C13/Datos!BI13),C13/Datos!BI13," - ")</f>
        <v xml:space="preserve"> - </v>
      </c>
      <c r="E13" s="849">
        <f>SUBTOTAL(9,E8:E12)</f>
        <v>1698</v>
      </c>
      <c r="F13" s="850">
        <f>IF(ISNUMBER(E13/B13),E13/B13," - ")</f>
        <v>242.57142857142858</v>
      </c>
      <c r="G13" s="849">
        <f>SUBTOTAL(9,G8:G12)</f>
        <v>1935</v>
      </c>
      <c r="H13" s="850">
        <f>IF(ISNUMBER(G13/B13),G13/B13," - ")</f>
        <v>276.42857142857144</v>
      </c>
      <c r="I13" s="849">
        <f>SUBTOTAL(9,I8:I12)</f>
        <v>4991</v>
      </c>
      <c r="J13" s="850">
        <f>IF(ISNUMBER(I13/B13),I13/B13," - ")</f>
        <v>713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7</v>
      </c>
      <c r="C16" s="403">
        <f>IF(ISNUMBER(IF(D_I="SI",Datos!I16,Datos!I16+Datos!AC16)),IF(D_I="SI",Datos!I16,Datos!I16+Datos!AC16)," - ")</f>
        <v>1946</v>
      </c>
      <c r="D16" s="404">
        <f>IF(ISNUMBER(C16/Datos!BH16),C16/Datos!BH16," - ")</f>
        <v>278</v>
      </c>
      <c r="E16" s="403">
        <f>IF(ISNUMBER(IF(D_I="SI",Datos!J16,Datos!J16+Datos!AD16)),IF(D_I="SI",Datos!J16,Datos!J16+Datos!AD16)," - ")</f>
        <v>1425</v>
      </c>
      <c r="F16" s="404">
        <f>IF(ISNUMBER(E16/B16),E16/B16," - ")</f>
        <v>203.57142857142858</v>
      </c>
      <c r="G16" s="403">
        <f>IF(ISNUMBER(IF(D_I="SI",Datos!K16,Datos!K16+Datos!AE16)),IF(D_I="SI",Datos!K16,Datos!K16+Datos!AE16)," - ")</f>
        <v>1164</v>
      </c>
      <c r="H16" s="404">
        <f>IF(ISNUMBER(G16/B16),G16/B16," - ")</f>
        <v>166.28571428571428</v>
      </c>
      <c r="I16" s="403">
        <f>IF(ISNUMBER(IF(D_I="SI",Datos!L16,Datos!L16+Datos!AF16)),IF(D_I="SI",Datos!L16,Datos!L16+Datos!AF16)," - ")</f>
        <v>2168</v>
      </c>
      <c r="J16" s="404">
        <f>IF(ISNUMBER(I16/B16),I16/B16," - ")</f>
        <v>309.71428571428572</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284</v>
      </c>
      <c r="D17" s="404">
        <f>IF(ISNUMBER(C17/Datos!BH17),C17/Datos!BH17," - ")</f>
        <v>284</v>
      </c>
      <c r="E17" s="403">
        <f>IF(ISNUMBER(IF(D_I="SI",Datos!J17,Datos!J17+Datos!AD17)),IF(D_I="SI",Datos!J17,Datos!J17+Datos!AD17)," - ")</f>
        <v>124</v>
      </c>
      <c r="F17" s="404">
        <f>IF(ISNUMBER(E17/B17),E17/B17," - ")</f>
        <v>124</v>
      </c>
      <c r="G17" s="403">
        <f>IF(ISNUMBER(IF(D_I="SI",Datos!K17,Datos!K17+Datos!AE17)),IF(D_I="SI",Datos!K17,Datos!K17+Datos!AE17)," - ")</f>
        <v>119</v>
      </c>
      <c r="H17" s="404">
        <f>IF(ISNUMBER(G17/B17),G17/B17," - ")</f>
        <v>119</v>
      </c>
      <c r="I17" s="403">
        <f>IF(ISNUMBER(IF(D_I="SI",Datos!L17,Datos!L17+Datos!AF17)),IF(D_I="SI",Datos!L17,Datos!L17+Datos!AF17)," - ")</f>
        <v>289</v>
      </c>
      <c r="J17" s="404">
        <f>IF(ISNUMBER(I17/B17),I17/B17," - ")</f>
        <v>289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7</v>
      </c>
      <c r="C18" s="849">
        <f>SUBTOTAL(9,C14:C17)</f>
        <v>2230</v>
      </c>
      <c r="D18" s="850" t="str">
        <f>IF(ISNUMBER(C18/Datos!BI18),C18/Datos!BI18," - ")</f>
        <v xml:space="preserve"> - </v>
      </c>
      <c r="E18" s="849">
        <f>SUBTOTAL(9,E14:E17)</f>
        <v>1549</v>
      </c>
      <c r="F18" s="850">
        <f>IF(ISNUMBER(E18/B18),E18/B18," - ")</f>
        <v>221.28571428571428</v>
      </c>
      <c r="G18" s="849">
        <f>SUBTOTAL(9,G14:G17)</f>
        <v>1283</v>
      </c>
      <c r="H18" s="850">
        <f>IF(ISNUMBER(G18/B18),G18/B18," - ")</f>
        <v>183.28571428571428</v>
      </c>
      <c r="I18" s="849">
        <f>SUBTOTAL(9,I14:I17)</f>
        <v>2457</v>
      </c>
      <c r="J18" s="850">
        <f>IF(ISNUMBER(I18/B18),I18/B18," - ")</f>
        <v>351</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7</v>
      </c>
      <c r="C19" s="794">
        <f>SUBTOTAL(9,C9:C18)</f>
        <v>7516</v>
      </c>
      <c r="D19" s="795" t="str">
        <f>IF(ISNUMBER(C19/Datos!BI19),C19/Datos!BI19," - ")</f>
        <v xml:space="preserve"> - </v>
      </c>
      <c r="E19" s="794">
        <f>SUBTOTAL(9,E9:E18)</f>
        <v>3247</v>
      </c>
      <c r="F19" s="795">
        <f>IF(ISNUMBER(E19/B19),E19/B19," - ")</f>
        <v>463.85714285714283</v>
      </c>
      <c r="G19" s="794">
        <f>SUBTOTAL(9,G9:G18)</f>
        <v>3218</v>
      </c>
      <c r="H19" s="795">
        <f>IF(ISNUMBER(G19/B19),G19/B19," - ")</f>
        <v>459.71428571428572</v>
      </c>
      <c r="I19" s="794">
        <f>SUBTOTAL(9,I9:I18)</f>
        <v>7448</v>
      </c>
      <c r="J19" s="795">
        <f>IF(ISNUMBER(I19/B19),I19/B19," - ")</f>
        <v>1064</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iAJQiUd+URkQ1bVeC37Ro/CvgefombJWRkyZuNhOhKKRIJT8JD0+5cD5pr9mXom1Q+Rgs+XR2Mfy4UEqjvf9ng==" saltValue="LqaWNoEHogbxQItydlnEo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VALENCIA  Resumenes por Partidos Judiciales  SAGUNT-SAGUNTO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57</v>
      </c>
      <c r="G10" s="684">
        <f>IF(ISNUMBER(Datos!I10),Datos!I10," - ")</f>
        <v>57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6</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20</v>
      </c>
      <c r="AC10" s="683" t="str">
        <f>IF(ISNUMBER(IF(D_I="SI",DatosP!K17,DatosP!K17+DatosP!AE17)),IF(D_I="SI",DatosP!K17,DatosP!K17+DatosP!AE17)," - ")</f>
        <v xml:space="preserve"> - </v>
      </c>
      <c r="AD10" s="685"/>
      <c r="AE10" s="685"/>
      <c r="AF10" s="688">
        <f>IF(ISNUMBER(Datos!L10),Datos!L10,"-")</f>
        <v>62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16</v>
      </c>
      <c r="AM10" s="690">
        <f>IF(ISNUMBER(Datos!N10+DatosP!N17),Datos!N10+DatosP!N17," - ")</f>
        <v>4</v>
      </c>
      <c r="AN10" s="690">
        <f>IF(ISNUMBER(Datos!BW10+DatosP!BW17),Datos!BW10+DatosP!BW17," - ")</f>
        <v>0</v>
      </c>
      <c r="AO10" s="691">
        <f>IF(ISNUMBER(Datos!BX10+DatosP!BX17),Datos!BX10+DatosP!BX17," - ")</f>
        <v>0</v>
      </c>
      <c r="AP10" s="693">
        <f>IF(ISNUMBER(((Datos!L10/Datos!K10)*11)/factor_trimestre),((Datos!L10/Datos!K10)*11)/factor_trimestre," - ")</f>
        <v>9.3000000000000007</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7</v>
      </c>
      <c r="B12" s="507" t="s">
        <v>246</v>
      </c>
      <c r="C12" s="7" t="str">
        <f>Datos!A12</f>
        <v xml:space="preserve">Jdos. 1ª Instª. e Instr.                        </v>
      </c>
      <c r="D12" s="508"/>
      <c r="E12" s="682">
        <f>IF(ISNUMBER(Datos!AQ12),Datos!AQ12," - ")</f>
        <v>7</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376</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178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4245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361</v>
      </c>
      <c r="AM12" s="690">
        <f>IF(ISNUMBER(Datos!N12+DatosP!N16),Datos!N12+DatosP!N16," - ")</f>
        <v>981</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7.7216710182767629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4.8925129725722757E-2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7</v>
      </c>
      <c r="F13" s="938">
        <f t="shared" si="0"/>
        <v>57</v>
      </c>
      <c r="G13" s="938">
        <f t="shared" si="0"/>
        <v>57</v>
      </c>
      <c r="H13" s="938">
        <f t="shared" si="0"/>
        <v>0</v>
      </c>
      <c r="I13" s="940">
        <f t="shared" si="0"/>
        <v>0</v>
      </c>
      <c r="J13" s="939">
        <f t="shared" si="0"/>
        <v>0</v>
      </c>
      <c r="K13" s="939">
        <f t="shared" si="0"/>
        <v>0</v>
      </c>
      <c r="L13" s="941">
        <f t="shared" si="0"/>
        <v>0</v>
      </c>
      <c r="M13" s="941">
        <f t="shared" si="0"/>
        <v>0</v>
      </c>
      <c r="N13" s="939">
        <f t="shared" si="0"/>
        <v>382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20</v>
      </c>
      <c r="AC13" s="939">
        <f t="shared" si="1"/>
        <v>0</v>
      </c>
      <c r="AD13" s="939">
        <f t="shared" si="1"/>
        <v>178</v>
      </c>
      <c r="AE13" s="939">
        <f t="shared" si="1"/>
        <v>0</v>
      </c>
      <c r="AF13" s="939">
        <f t="shared" si="1"/>
        <v>62</v>
      </c>
      <c r="AG13" s="939">
        <f t="shared" si="1"/>
        <v>0</v>
      </c>
      <c r="AH13" s="939">
        <f t="shared" si="1"/>
        <v>4245</v>
      </c>
      <c r="AI13" s="939">
        <f t="shared" si="1"/>
        <v>0</v>
      </c>
      <c r="AJ13" s="939">
        <f t="shared" si="1"/>
        <v>0</v>
      </c>
      <c r="AK13" s="939">
        <f t="shared" si="1"/>
        <v>0</v>
      </c>
      <c r="AL13" s="939">
        <f t="shared" si="1"/>
        <v>377</v>
      </c>
      <c r="AM13" s="939">
        <f t="shared" si="1"/>
        <v>985</v>
      </c>
      <c r="AN13" s="939">
        <f t="shared" si="1"/>
        <v>0</v>
      </c>
      <c r="AO13" s="939">
        <f t="shared" si="1"/>
        <v>0</v>
      </c>
      <c r="AP13" s="944">
        <f>IF(ISNUMBER(((Datos!L13/Datos!K13)*11)/factor_trimestre),((Datos!L13/Datos!K13)*11)/factor_trimestre," - ")</f>
        <v>7.9412751677852347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-0.35087719298245612</v>
      </c>
      <c r="AU13" s="939" t="str">
        <f>IF(ISNUMBER((DatosP!#REF!-DatosP!#REF!+DatosP!#REF!)/(DatosP!#REF!+DatosP!#REF!-DatosP!#REF!-DatosP!#REF!)),(DatosP!#REF!-DatosP!#REF!+DatosP!#REF!)/(DatosP!#REF!+DatosP!#REF!-DatosP!#REF!-DatosP!#REF!)," - ")</f>
        <v xml:space="preserve"> - </v>
      </c>
      <c r="AV13" s="945">
        <f>SUBTOTAL(9,AV9:AV12)</f>
        <v>4.8925129725722757E-2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7</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5.7451286048324244</v>
      </c>
      <c r="AQ18" s="944">
        <f>IF(ISNUMBER(((Datos!M18/Datos!L18)*11)/factor_trimestre),((Datos!M18/Datos!L18)*11)/factor_trimestre," - ")</f>
        <v>0.24297924297924298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5.6782334384858045E-2</v>
      </c>
      <c r="AW18" s="946">
        <f>IF(ISNUMBER((Datos!Q18-Datos!R18)/(Datos!S18-Datos!Q18+Datos!R18)),(Datos!Q18-Datos!R18)/(Datos!S18-Datos!Q18+Datos!R18)," - ")</f>
        <v>-0.11471610660486674</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7</v>
      </c>
      <c r="F19" s="951">
        <f t="shared" si="4"/>
        <v>57</v>
      </c>
      <c r="G19" s="951">
        <f t="shared" si="4"/>
        <v>57</v>
      </c>
      <c r="H19" s="951">
        <f t="shared" si="4"/>
        <v>0</v>
      </c>
      <c r="I19" s="952">
        <f t="shared" si="4"/>
        <v>0</v>
      </c>
      <c r="J19" s="953">
        <f t="shared" si="4"/>
        <v>0</v>
      </c>
      <c r="K19" s="953">
        <f t="shared" si="4"/>
        <v>0</v>
      </c>
      <c r="L19" s="953">
        <f t="shared" si="4"/>
        <v>0</v>
      </c>
      <c r="M19" s="953">
        <f t="shared" si="4"/>
        <v>0</v>
      </c>
      <c r="N19" s="952">
        <f t="shared" si="4"/>
        <v>382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20</v>
      </c>
      <c r="AC19" s="957">
        <f t="shared" si="5"/>
        <v>0</v>
      </c>
      <c r="AD19" s="957">
        <f t="shared" si="5"/>
        <v>178</v>
      </c>
      <c r="AE19" s="957">
        <f t="shared" si="5"/>
        <v>0</v>
      </c>
      <c r="AF19" s="958">
        <f t="shared" si="5"/>
        <v>62</v>
      </c>
      <c r="AG19" s="958">
        <f t="shared" si="5"/>
        <v>0</v>
      </c>
      <c r="AH19" s="958">
        <f t="shared" si="5"/>
        <v>4245</v>
      </c>
      <c r="AI19" s="958">
        <f t="shared" si="5"/>
        <v>0</v>
      </c>
      <c r="AJ19" s="959">
        <f t="shared" si="5"/>
        <v>0</v>
      </c>
      <c r="AK19" s="959">
        <f t="shared" si="5"/>
        <v>0</v>
      </c>
      <c r="AL19" s="951">
        <f t="shared" si="5"/>
        <v>377</v>
      </c>
      <c r="AM19" s="951">
        <f t="shared" si="5"/>
        <v>985</v>
      </c>
      <c r="AN19" s="951">
        <f t="shared" si="5"/>
        <v>0</v>
      </c>
      <c r="AO19" s="951">
        <f t="shared" si="5"/>
        <v>0</v>
      </c>
      <c r="AP19" s="951">
        <f>IF(ISNUMBER(((Datos!L19/Datos!K19)*11)/factor_trimestre),((Datos!L19/Datos!K19)*11)/factor_trimestre," - ")</f>
        <v>7.0237707587105183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-0.35087719298245612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5.030871255431054E-2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3.614784456460256</v>
      </c>
      <c r="F21" s="736">
        <f>IF(ISNUMBER(STDEV(F8:F18)),STDEV(F8:F18),"-")</f>
        <v>32.908965343808667</v>
      </c>
      <c r="G21" s="737">
        <f>IF(ISNUMBER(STDEV(G8:G18)),STDEV(G8:G18),"-")</f>
        <v>32.908965343808667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11.547005383792515</v>
      </c>
      <c r="AC21" s="738">
        <f>IF(ISNUMBER(STDEV(AC8:AC18)),STDEV(AC8:AC18),"-")</f>
        <v>0</v>
      </c>
      <c r="AD21" s="741"/>
      <c r="AE21" s="741"/>
      <c r="AF21" s="741"/>
      <c r="AG21" s="741"/>
      <c r="AH21" s="741"/>
      <c r="AI21" s="741"/>
      <c r="AJ21" s="742">
        <f>IF(ISNUMBER(STDEV(AJ8:AJ18)),STDEV(AJ8:AJ18),"-")</f>
        <v>0</v>
      </c>
      <c r="AK21" s="744"/>
      <c r="AL21" s="736">
        <f>IF(ISNUMBER(STDEV(AL8:AL18)),STDEV(AL8:AL18),"-")</f>
        <v>208.62805819607934</v>
      </c>
      <c r="AM21" s="736"/>
      <c r="AN21" s="736">
        <f>IF(ISNUMBER(STDEV(AN8:AN18)),STDEV(AN8:AN18),"-")</f>
        <v>0</v>
      </c>
      <c r="AO21" s="742">
        <f>IF(ISNUMBER(STDEV(AO8:AO18)),STDEV(AO8:AO18),"-")</f>
        <v>0</v>
      </c>
      <c r="AP21" s="779">
        <f>IF(ISNUMBER(STDEV(AP8:AP18)),STDEV(AP8:AP18),"-")</f>
        <v>1.4649337812395149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TOsfdEpRI2rE5uHoi+XHWoBc1Ltplp8lzpHs6rVAMmeuPbi87zovCNVtuouNCh1HvEUbnJaaUT0VrWYYsVKxpg==" saltValue="XRa5/+fiYSjWaVwj2TuA3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SAGUNT-SAGUNTO</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7</v>
      </c>
      <c r="D12" s="403">
        <f>Datos!BK12</f>
        <v>0</v>
      </c>
      <c r="E12" s="403">
        <f>Datos!AQ12</f>
        <v>7</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7</v>
      </c>
      <c r="D16" s="403">
        <f>Datos!BK16</f>
        <v>0</v>
      </c>
      <c r="E16" s="403">
        <f>Datos!AQ16</f>
        <v>7</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qyoKx5Im0CEg7FiN+kJkRTcVQDuzJ9+Wmg/KMKUStwgm+mKi5cShWgwTDPEQ2LBAq7uHlZidvtb8WCyafG5gKg==" saltValue="VKkhfgWNghNv2k1T5ZcCe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VALENCIA</v>
      </c>
      <c r="C3" s="391"/>
      <c r="D3" s="425"/>
      <c r="BZ3" s="471"/>
    </row>
    <row r="4" spans="1:78" ht="13.5" thickBot="1">
      <c r="B4" s="391" t="str">
        <f>Criterios!A11 &amp;"  "&amp;Criterios!B11</f>
        <v>Resumenes por Partidos Judiciales  SAGUNT-SAGUNTO</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16</v>
      </c>
      <c r="E10" s="404">
        <f>IF(ISNUMBER(D10/B10),D10/B10," - ")</f>
        <v>16</v>
      </c>
      <c r="F10" s="403">
        <f>IF(ISNUMBER(Datos!N10),Datos!N10," - ")</f>
        <v>4</v>
      </c>
      <c r="G10" s="404">
        <f>IF(ISNUMBER(F10/B10),F10/B10," - ")</f>
        <v>4</v>
      </c>
      <c r="H10" s="403">
        <f>IF(ISNUMBER(Datos!O10),Datos!O10," - ")</f>
        <v>2</v>
      </c>
      <c r="I10" s="404">
        <f t="shared" ref="I10:I12" si="2">IF(ISNUMBER(H10/B10),H10/B10," - ")</f>
        <v>2</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7</v>
      </c>
      <c r="C12" s="410">
        <f>Datos!AQ12</f>
        <v>7</v>
      </c>
      <c r="D12" s="403">
        <f>IF(ISNUMBER(Datos!M12),Datos!M12," - ")</f>
        <v>361</v>
      </c>
      <c r="E12" s="404">
        <f t="shared" si="0"/>
        <v>51.571428571428569</v>
      </c>
      <c r="F12" s="403">
        <f>IF(ISNUMBER(Datos!N12),Datos!N12," - ")</f>
        <v>981</v>
      </c>
      <c r="G12" s="404">
        <f t="shared" si="1"/>
        <v>140.14285714285714</v>
      </c>
      <c r="H12" s="403">
        <f>IF(ISNUMBER(Datos!O12),Datos!O12," - ")</f>
        <v>696</v>
      </c>
      <c r="I12" s="404">
        <f t="shared" si="2"/>
        <v>99.428571428571431</v>
      </c>
      <c r="BZ12" s="1186">
        <f>Datos!EZ12</f>
        <v>0</v>
      </c>
    </row>
    <row r="13" spans="1:78" ht="14.25" thickTop="1" thickBot="1">
      <c r="A13" s="848" t="str">
        <f>Datos!A13</f>
        <v>TOTAL</v>
      </c>
      <c r="B13" s="849">
        <f>Datos!AP13</f>
        <v>7</v>
      </c>
      <c r="C13" s="851">
        <f>Datos!AR13</f>
        <v>7</v>
      </c>
      <c r="D13" s="849">
        <f>SUBTOTAL(9,D9:D12)</f>
        <v>377</v>
      </c>
      <c r="E13" s="850">
        <f t="shared" si="0"/>
        <v>53.857142857142854</v>
      </c>
      <c r="F13" s="849">
        <f>SUBTOTAL(9,F9:F12)</f>
        <v>985</v>
      </c>
      <c r="G13" s="850">
        <f t="shared" si="1"/>
        <v>140.71428571428572</v>
      </c>
      <c r="H13" s="849">
        <f>SUBTOTAL(9,H9:H12)</f>
        <v>698</v>
      </c>
      <c r="I13" s="850">
        <f>IF(ISNUMBER(H13/B13),H13/B13," - ")</f>
        <v>99.714285714285708</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7</v>
      </c>
      <c r="C16" s="428">
        <f>Datos!AQ16</f>
        <v>7</v>
      </c>
      <c r="D16" s="403">
        <f>IF(ISNUMBER(Datos!M16),Datos!M16," - ")</f>
        <v>176</v>
      </c>
      <c r="E16" s="404">
        <f t="shared" si="3"/>
        <v>25.142857142857142</v>
      </c>
      <c r="F16" s="403">
        <f>IF(ISNUMBER(Datos!N16),Datos!N16," - ")</f>
        <v>632</v>
      </c>
      <c r="G16" s="404">
        <f t="shared" si="4"/>
        <v>90.285714285714292</v>
      </c>
      <c r="H16" s="403">
        <f>IF(ISNUMBER(Datos!O16),Datos!O16," - ")</f>
        <v>17</v>
      </c>
      <c r="I16" s="404">
        <f t="shared" si="5"/>
        <v>2.4285714285714284</v>
      </c>
      <c r="BZ16" s="1186">
        <f>Datos!EZ16</f>
        <v>0</v>
      </c>
    </row>
    <row r="17" spans="1:78" ht="13.5" thickBot="1">
      <c r="A17" s="402" t="str">
        <f>Datos!A17</f>
        <v>Jdos. Violencia contra la mujer</v>
      </c>
      <c r="B17" s="427">
        <f>Datos!AO17</f>
        <v>1</v>
      </c>
      <c r="C17" s="428">
        <f>Datos!AQ17</f>
        <v>0</v>
      </c>
      <c r="D17" s="403">
        <f>IF(ISNUMBER(Datos!M17),Datos!M17," - ")</f>
        <v>23</v>
      </c>
      <c r="E17" s="404">
        <f>IF(ISNUMBER(D17/B17),D17/B17," - ")</f>
        <v>23</v>
      </c>
      <c r="F17" s="403">
        <f>IF(ISNUMBER(Datos!N17),Datos!N17," - ")</f>
        <v>66</v>
      </c>
      <c r="G17" s="404">
        <f>IF(ISNUMBER(F17/B17),F17/B17," - ")</f>
        <v>66</v>
      </c>
      <c r="H17" s="403">
        <f>IF(ISNUMBER(Datos!O17),Datos!O17," - ")</f>
        <v>0</v>
      </c>
      <c r="I17" s="404">
        <f t="shared" si="5"/>
        <v>0</v>
      </c>
      <c r="BZ17" s="1186">
        <f>Datos!EZ17</f>
        <v>0</v>
      </c>
    </row>
    <row r="18" spans="1:78" ht="14.25" thickTop="1" thickBot="1">
      <c r="A18" s="848" t="str">
        <f>Datos!A18</f>
        <v>TOTAL</v>
      </c>
      <c r="B18" s="849">
        <f>Datos!AP18</f>
        <v>7</v>
      </c>
      <c r="C18" s="851">
        <f>Datos!AR18</f>
        <v>7</v>
      </c>
      <c r="D18" s="849">
        <f>SUBTOTAL(9,D15:D17)</f>
        <v>199</v>
      </c>
      <c r="E18" s="850">
        <f t="shared" si="3"/>
        <v>28.428571428571427</v>
      </c>
      <c r="F18" s="849">
        <f>SUBTOTAL(9,F15:F17)</f>
        <v>698</v>
      </c>
      <c r="G18" s="850">
        <f t="shared" si="4"/>
        <v>99.714285714285708</v>
      </c>
      <c r="H18" s="849">
        <f>SUBTOTAL(9,H15:H17)</f>
        <v>17</v>
      </c>
      <c r="I18" s="850">
        <f>IF(ISNUMBER(H18/B18),H18/B18," - ")</f>
        <v>2.4285714285714284</v>
      </c>
      <c r="BZ18" s="1186"/>
    </row>
    <row r="19" spans="1:78" ht="14.25" thickTop="1" thickBot="1">
      <c r="A19" s="793" t="str">
        <f>Datos!A19</f>
        <v>TOTAL JURISDICCIONES</v>
      </c>
      <c r="B19" s="794">
        <f>Datos!AP19</f>
        <v>7</v>
      </c>
      <c r="C19" s="794">
        <f>Datos!AR19</f>
        <v>7</v>
      </c>
      <c r="D19" s="794">
        <f>SUBTOTAL(9,D8:D18)</f>
        <v>576</v>
      </c>
      <c r="E19" s="795">
        <f>IF(ISNUMBER(D19/B19),D19/B19," - ")</f>
        <v>82.285714285714292</v>
      </c>
      <c r="F19" s="794">
        <f>SUBTOTAL(9,F8:F18)</f>
        <v>1683</v>
      </c>
      <c r="G19" s="795">
        <f>IF(ISNUMBER(F19/B19),F19/B19," - ")</f>
        <v>240.42857142857142</v>
      </c>
      <c r="H19" s="794">
        <f>SUBTOTAL(9,H8:H18)</f>
        <v>715</v>
      </c>
      <c r="I19" s="795">
        <f>IF(ISNUMBER(H19/B19),H19/B19," - ")</f>
        <v>102.14285714285714</v>
      </c>
    </row>
    <row r="22" spans="1:78">
      <c r="A22" s="391" t="str">
        <f>Criterios!A4</f>
        <v>Fecha Informe: 24 sep. 2025</v>
      </c>
    </row>
    <row r="27" spans="1:78">
      <c r="A27" s="414"/>
    </row>
  </sheetData>
  <sheetProtection algorithmName="SHA-512" hashValue="j0A/jmzLVQVRIsGHHCdiCiZYHpwAIKzApek+l9MLDsy4GGcrUYVNE/CpmA1TFo76kyxEY3Ggcv+90LDKDx1h4Q==" saltValue="EMbT2jRHwlMzvS361evrW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SAGUNT-SAGUNTO</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6</v>
      </c>
      <c r="C10" s="434">
        <f>IF(ISNUMBER(Datos!Q10),Datos!Q10," - ")</f>
        <v>2</v>
      </c>
      <c r="D10" s="408">
        <f>IF(ISNUMBER(Datos!R10),Datos!R10," - ")</f>
        <v>13</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376</v>
      </c>
      <c r="C12" s="434">
        <f>IF(ISNUMBER(Datos!Q12),Datos!Q12," - ")</f>
        <v>178</v>
      </c>
      <c r="D12" s="408">
        <f>IF(ISNUMBER(Datos!R12),Datos!R12," - ")</f>
        <v>4245</v>
      </c>
    </row>
    <row r="13" spans="1:4" ht="14.25" thickTop="1" thickBot="1">
      <c r="A13" s="848" t="str">
        <f>Datos!A13</f>
        <v>TOTAL</v>
      </c>
      <c r="B13" s="849">
        <f>SUBTOTAL(9,B9:B12)</f>
        <v>382</v>
      </c>
      <c r="C13" s="853">
        <f>SUBTOTAL(9,C9:C12)</f>
        <v>180</v>
      </c>
      <c r="D13" s="851">
        <f>SUBTOTAL(9,D9:D12)</f>
        <v>4258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56</v>
      </c>
      <c r="C16" s="434">
        <f>IF(ISNUMBER(Datos!Q16),Datos!Q16," - ")</f>
        <v>38</v>
      </c>
      <c r="D16" s="408">
        <f>IF(ISNUMBER(Datos!R16),Datos!R16," - ")</f>
        <v>315</v>
      </c>
    </row>
    <row r="17" spans="1:4" ht="13.5" thickBot="1">
      <c r="A17" s="402" t="str">
        <f>Datos!A17</f>
        <v>Jdos. Violencia contra la mujer</v>
      </c>
      <c r="B17" s="433">
        <f>IF(ISNUMBER(Datos!P17),Datos!P17," - ")</f>
        <v>0</v>
      </c>
      <c r="C17" s="434">
        <f>IF(ISNUMBER(Datos!Q17),Datos!Q17," - ")</f>
        <v>0</v>
      </c>
      <c r="D17" s="408">
        <f>IF(ISNUMBER(Datos!R17),Datos!R17," - ")</f>
        <v>20</v>
      </c>
    </row>
    <row r="18" spans="1:4" ht="14.25" thickTop="1" thickBot="1">
      <c r="A18" s="848" t="str">
        <f>Datos!A18</f>
        <v>TOTAL</v>
      </c>
      <c r="B18" s="849">
        <f>SUBTOTAL(9,B15:B17)</f>
        <v>56</v>
      </c>
      <c r="C18" s="853">
        <f>SUBTOTAL(9,C15:C17)</f>
        <v>38</v>
      </c>
      <c r="D18" s="851">
        <f>SUBTOTAL(9,D15:D17)</f>
        <v>335</v>
      </c>
    </row>
    <row r="19" spans="1:4" ht="16.5" customHeight="1" thickTop="1" thickBot="1">
      <c r="A19" s="793" t="str">
        <f>Datos!A19</f>
        <v>TOTAL JURISDICCIONES</v>
      </c>
      <c r="B19" s="798">
        <f>SUBTOTAL(9,B8:B18)</f>
        <v>438</v>
      </c>
      <c r="C19" s="799">
        <f>SUBTOTAL(9,C8:C18)</f>
        <v>218</v>
      </c>
      <c r="D19" s="800">
        <f>SUBTOTAL(9,D8:D18)</f>
        <v>4593</v>
      </c>
    </row>
    <row r="20" spans="1:4" ht="7.5" customHeight="1"/>
    <row r="21" spans="1:4" ht="6" customHeight="1"/>
    <row r="22" spans="1:4">
      <c r="A22" s="391" t="str">
        <f>Criterios!A4</f>
        <v>Fecha Informe: 24 sep. 2025</v>
      </c>
    </row>
    <row r="27" spans="1:4">
      <c r="A27" s="414"/>
    </row>
  </sheetData>
  <sheetProtection algorithmName="SHA-512" hashValue="bIHSI1VexMSvQDAhL8y9oWBmE56pi0ZKsyB975FciuItTh7xwWMXEn4Ic1Rlg2N+wsrqMWp+rVPHyJho6j/sDA==" saltValue="fjHniXpXGtmA+ukmSPfsP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SAGUNT-SAGUNTO</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0.54054054054054057</v>
      </c>
      <c r="C10" s="456">
        <f>IF(ISNUMBER((Datos!J10-Datos!T10)/Datos!T10),(Datos!J10-Datos!T10)/Datos!T10," - ")</f>
        <v>1.2727272727272727</v>
      </c>
      <c r="D10" s="456">
        <f>IF(ISNUMBER((Datos!K10-Datos!U10)/Datos!U10),(Datos!K10-Datos!U10)/Datos!U10," - ")</f>
        <v>0.81818181818181823</v>
      </c>
      <c r="E10" s="456">
        <f>IF(ISNUMBER((Datos!L10-Datos!V10)/Datos!V10),(Datos!L10-Datos!V10)/Datos!V10," - ")</f>
        <v>0.67567567567567566</v>
      </c>
      <c r="F10" s="456">
        <f>IF(ISNUMBER((Datos!M10-Datos!W10)/Datos!W10),(Datos!M10-Datos!W10)/Datos!W10," - ")</f>
        <v>0.45454545454545453</v>
      </c>
      <c r="G10" s="457">
        <f>IF(ISNUMBER((Datos!N10-Datos!X10)/Datos!X10),(Datos!N10-Datos!X10)/Datos!X10," - ")</f>
        <v>0.33333333333333331</v>
      </c>
      <c r="H10" s="455">
        <f>IF(ISNUMBER(((NºAsuntos!G10/NºAsuntos!E10)-Datos!BD10)/Datos!BD10),((NºAsuntos!G10/NºAsuntos!E10)-Datos!BD10)/Datos!BD10," - ")</f>
        <v>-0.19999999999999996</v>
      </c>
      <c r="I10" s="456">
        <f>IF(ISNUMBER(((NºAsuntos!I10/NºAsuntos!G10)-Datos!BE10)/Datos!BE10),((NºAsuntos!I10/NºAsuntos!G10)-Datos!BE10)/Datos!BE10," - ")</f>
        <v>-7.8378378378378383E-2</v>
      </c>
      <c r="J10" s="461">
        <f>IF(ISNUMBER((('Resol  Asuntos'!D10/NºAsuntos!G10)-Datos!BF10)/Datos!BF10),(('Resol  Asuntos'!D10/NºAsuntos!G10)-Datos!BF10)/Datos!BF10," - ")</f>
        <v>-0.19999999999999996</v>
      </c>
      <c r="K10" s="462">
        <f>IF(ISNUMBER((((NºAsuntos!C10+NºAsuntos!E10)/NºAsuntos!G10)-Datos!BG10)/Datos!BG10),(((NºAsuntos!C10+NºAsuntos!E10)/NºAsuntos!G10)-Datos!BG10)/Datos!BG10," - ")</f>
        <v>-6.0416666666666681E-2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0.12645411460577338</v>
      </c>
      <c r="C12" s="456">
        <f>IF(ISNUMBER(
   IF(J_V="SI",(Datos!J12-Datos!T12)/Datos!T12,(Datos!J12+Datos!Z12-(Datos!T12+Datos!AH12))/(Datos!T12+Datos!AH12))
     ),IF(J_V="SI",(Datos!J12-Datos!T12)/Datos!T12,(Datos!J12+Datos!Z12-(Datos!T12+Datos!AH12))/(Datos!T12+Datos!AH12))," - ")</f>
        <v>0.14120054570259208</v>
      </c>
      <c r="D12" s="456">
        <f>IF(ISNUMBER(
   IF(J_V="SI",(Datos!K12-Datos!U12)/Datos!U12,(Datos!K12+Datos!AA12-(Datos!U12+Datos!AI12))/(Datos!U12+Datos!AI12))
     ),IF(J_V="SI",(Datos!K12-Datos!U12)/Datos!U12,(Datos!K12+Datos!AA12-(Datos!U12+Datos!AI12))/(Datos!U12+Datos!AI12))," - ")</f>
        <v>0.22599231754161331</v>
      </c>
      <c r="E12" s="456">
        <f>IF(ISNUMBER(
   IF(J_V="SI",(Datos!L12-Datos!V12)/Datos!V12,(Datos!L12+Datos!AB12-(Datos!V12+Datos!AJ12))/(Datos!V12+Datos!AJ12))
     ),IF(J_V="SI",(Datos!L12-Datos!V12)/Datos!V12,(Datos!L12+Datos!AB12-(Datos!V12+Datos!AJ12))/(Datos!V12+Datos!AJ12))," - ")</f>
        <v>8.7359364659166119E-2</v>
      </c>
      <c r="F12" s="456">
        <f>IF(ISNUMBER((Datos!M12-Datos!W12)/Datos!W12),(Datos!M12-Datos!W12)/Datos!W12," - ")</f>
        <v>0.16451612903225807</v>
      </c>
      <c r="G12" s="457">
        <f>IF(ISNUMBER((Datos!N12-Datos!X12)/Datos!X12),(Datos!N12-Datos!X12)/Datos!X12," - ")</f>
        <v>0.3512396694214876</v>
      </c>
      <c r="H12" s="455">
        <f>IF(ISNUMBER(((NºAsuntos!G12/NºAsuntos!E12)-Datos!BD12)/Datos!BD12),((NºAsuntos!G12/NºAsuntos!E12)-Datos!BD12)/Datos!BD12," - ")</f>
        <v>7.4300500607295442E-2</v>
      </c>
      <c r="I12" s="456">
        <f>IF(ISNUMBER(((NºAsuntos!I12/NºAsuntos!G12)-Datos!BE12)/Datos!BE12),((NºAsuntos!I12/NºAsuntos!G12)-Datos!BE12)/Datos!BE12," - ")</f>
        <v>-0.11307815791247119</v>
      </c>
      <c r="J12" s="461">
        <f>IF(ISNUMBER((('Resol  Asuntos'!D12/NºAsuntos!G12)-Datos!BF12)/Datos!BF12),(('Resol  Asuntos'!D12/NºAsuntos!G12)-Datos!BF12)/Datos!BF12," - ")</f>
        <v>-0.59441411504074682</v>
      </c>
      <c r="K12" s="462">
        <f>IF(ISNUMBER((((NºAsuntos!C12+NºAsuntos!E12)/NºAsuntos!G12)-Datos!BG12)/Datos!BG12),(((NºAsuntos!C12+NºAsuntos!E12)/NºAsuntos!G12)-Datos!BG12)/Datos!BG12," - ")</f>
        <v>-7.8302991753314191E-2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0.12972857448172687</v>
      </c>
      <c r="C13" s="855">
        <f>IF(ISNUMBER(
   IF(J_V="SI",(Datos!J13-Datos!T13)/Datos!T13,(Datos!J13+Datos!Z13-(Datos!T13+Datos!AH13))/(Datos!T13+Datos!AH13))
     ),IF(J_V="SI",(Datos!J13-Datos!T13)/Datos!T13,(Datos!J13+Datos!Z13-(Datos!T13+Datos!AH13))/(Datos!T13+Datos!AH13))," - ")</f>
        <v>0.14962762356127285</v>
      </c>
      <c r="D13" s="855">
        <f>IF(ISNUMBER(
   IF(J_V="SI",(Datos!K13-Datos!U13)/Datos!U13,(Datos!K13+Datos!AA13-(Datos!U13+Datos!AI13))/(Datos!U13+Datos!AI13))
     ),IF(J_V="SI",(Datos!K13-Datos!U13)/Datos!U13,(Datos!K13+Datos!AA13-(Datos!U13+Datos!AI13))/(Datos!U13+Datos!AI13))," - ")</f>
        <v>0.23013350286077558</v>
      </c>
      <c r="E13" s="855">
        <f>IF(ISNUMBER(
   IF(J_V="SI",(Datos!L13-Datos!V13)/Datos!V13,(Datos!L13+Datos!AB13-(Datos!V13+Datos!AJ13))/(Datos!V13+Datos!AJ13))
     ),IF(J_V="SI",(Datos!L13-Datos!V13)/Datos!V13,(Datos!L13+Datos!AB13-(Datos!V13+Datos!AJ13))/(Datos!V13+Datos!AJ13))," - ")</f>
        <v>9.2122538293216635E-2</v>
      </c>
      <c r="F13" s="856">
        <f>IF(ISNUMBER((Datos!M13-Datos!W13)/Datos!W13),(Datos!M13-Datos!W13)/Datos!W13," - ")</f>
        <v>0.17445482866043613</v>
      </c>
      <c r="G13" s="857">
        <f>IF(ISNUMBER((Datos!N13-Datos!X13)/Datos!X13),(Datos!N13-Datos!X13)/Datos!X13," - ")</f>
        <v>0.3511659807956104</v>
      </c>
      <c r="H13" s="857">
        <f>IF(ISNUMBER(((NºAsuntos!G13/NºAsuntos!E13)-Datos!BD13)/Datos!BD13),((NºAsuntos!G13/NºAsuntos!E13)-Datos!BD13)/Datos!BD13," - ")</f>
        <v>7.0027787824125887E-2</v>
      </c>
      <c r="I13" s="857">
        <f>IF(ISNUMBER(((NºAsuntos!I13/NºAsuntos!G13)-Datos!BE13)/Datos!BE13),((NºAsuntos!I13/NºAsuntos!G13)-Datos!BE13)/Datos!BE13," - ")</f>
        <v>-0.11219185905156082</v>
      </c>
      <c r="J13" s="857">
        <f>IF(ISNUMBER((('Resol  Asuntos'!D13/NºAsuntos!G13)-Datos!BF13)/Datos!BF13),(('Resol  Asuntos'!D13/NºAsuntos!G13)-Datos!BF13)/Datos!BF13," - ")</f>
        <v>-0.58416444907246712</v>
      </c>
      <c r="K13" s="857">
        <f>IF(ISNUMBER((((NºAsuntos!C13+NºAsuntos!E13)/NºAsuntos!G13)-Datos!BG13)/Datos!BG13),(((NºAsuntos!C13+NºAsuntos!E13)/NºAsuntos!G13)-Datos!BG13)/Datos!BG13," - ")</f>
        <v>-7.7740000302219836E-2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-6.5321805955811718E-2</v>
      </c>
      <c r="C16" s="456">
        <f>IF(ISNUMBER(
   IF(D_I="SI",(Datos!J16-Datos!T16)/Datos!T16,(Datos!J16+Datos!AD16-(Datos!T16+Datos!AL16))/(Datos!T16+Datos!AL16))
     ),IF(D_I="SI",(Datos!J16-Datos!T16)/Datos!T16,(Datos!J16+Datos!AD16-(Datos!T16+Datos!AL16))/(Datos!T16+Datos!AL16))," - ")</f>
        <v>-1.1103400416377515E-2</v>
      </c>
      <c r="D16" s="456">
        <f>IF(ISNUMBER(
   IF(D_I="SI",(Datos!K16-Datos!U16)/Datos!U16,(Datos!K16+Datos!AE16-(Datos!U16+Datos!AM16))/(Datos!U16+Datos!AM16))
     ),IF(D_I="SI",(Datos!K16-Datos!U16)/Datos!U16,(Datos!K16+Datos!AE16-(Datos!U16+Datos!AM16))/(Datos!U16+Datos!AM16))," - ")</f>
        <v>-0.18028169014084508</v>
      </c>
      <c r="E16" s="456">
        <f>IF(ISNUMBER(
   IF(D_I="SI",(Datos!L16-Datos!V16)/Datos!V16,(Datos!L16+Datos!AF16-(Datos!V16+Datos!AN16))/(Datos!V16+Datos!AN16))
     ),IF(D_I="SI",(Datos!L16-Datos!V16)/Datos!V16,(Datos!L16+Datos!AF16-(Datos!V16+Datos!AN16))/(Datos!V16+Datos!AN16))," - ")</f>
        <v>4.6837276677933366E-2</v>
      </c>
      <c r="F16" s="456">
        <f>IF(ISNUMBER((Datos!M16-Datos!W16)/Datos!W16),(Datos!M16-Datos!W16)/Datos!W16," - ")</f>
        <v>-6.8783068783068779E-2</v>
      </c>
      <c r="G16" s="457">
        <f>IF(ISNUMBER((Datos!N16-Datos!X16)/Datos!X16),(Datos!N16-Datos!X16)/Datos!X16," - ")</f>
        <v>-0.21295143212951431</v>
      </c>
      <c r="H16" s="455">
        <f>IF(ISNUMBER(((NºAsuntos!G16/NºAsuntos!E16)-Datos!BD16)/Datos!BD16),((NºAsuntos!G16/NºAsuntos!E16)-Datos!BD16)/Datos!BD16," - ")</f>
        <v>-0.17107783543365451</v>
      </c>
      <c r="I16" s="456">
        <f>IF(ISNUMBER(((NºAsuntos!I16/NºAsuntos!G16)-Datos!BE16)/Datos!BE16),((NºAsuntos!I16/NºAsuntos!G16)-Datos!BE16)/Datos!BE16," - ")</f>
        <v>0.27706952996792567</v>
      </c>
      <c r="J16" s="461">
        <f>IF(ISNUMBER((('Resol  Asuntos'!D16/NºAsuntos!G16)-Datos!BF16)/Datos!BF16),(('Resol  Asuntos'!D16/NºAsuntos!G16)-Datos!BF16)/Datos!BF16," - ")</f>
        <v>0.13602065492099857</v>
      </c>
      <c r="K16" s="462">
        <f>IF(ISNUMBER((((NºAsuntos!C16+NºAsuntos!E16)/NºAsuntos!G16)-Datos!BG16)/Datos!BG16),(((NºAsuntos!C16+NºAsuntos!E16)/NºAsuntos!G16)-Datos!BG16)/Datos!BG16," - ")</f>
        <v>0.16729727963417609</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0.35238095238095241</v>
      </c>
      <c r="C17" s="456">
        <f>IF(ISNUMBER(
   IF(D_I="SI",(Datos!J17-Datos!T17)/Datos!T17,(Datos!J17+Datos!AD17-(Datos!T17+Datos!AL17))/(Datos!T17+Datos!AL17))
     ),IF(D_I="SI",(Datos!J17-Datos!T17)/Datos!T17,(Datos!J17+Datos!AD17-(Datos!T17+Datos!AL17))/(Datos!T17+Datos!AL17))," - ")</f>
        <v>-0.24848484848484848</v>
      </c>
      <c r="D17" s="456">
        <f>IF(ISNUMBER(
   IF(D_I="SI",(Datos!K17-Datos!U17)/Datos!U17,(Datos!K17+Datos!AE17-(Datos!U17+Datos!AM17))/(Datos!U17+Datos!AM17))
     ),IF(D_I="SI",(Datos!K17-Datos!U17)/Datos!U17,(Datos!K17+Datos!AE17-(Datos!U17+Datos!AM17))/(Datos!U17+Datos!AM17))," - ")</f>
        <v>-0.25157232704402516</v>
      </c>
      <c r="E17" s="456">
        <f>IF(ISNUMBER(
   IF(D_I="SI",(Datos!L17-Datos!V17)/Datos!V17,(Datos!L17+Datos!AF17-(Datos!V17+Datos!AN17))/(Datos!V17+Datos!AN17))
     ),IF(D_I="SI",(Datos!L17-Datos!V17)/Datos!V17,(Datos!L17+Datos!AF17-(Datos!V17+Datos!AN17))/(Datos!V17+Datos!AN17))," - ")</f>
        <v>0.33179723502304148</v>
      </c>
      <c r="F17" s="456">
        <f>IF(ISNUMBER((Datos!M17-Datos!W17)/Datos!W17),(Datos!M17-Datos!W17)/Datos!W17," - ")</f>
        <v>4.5454545454545456E-2</v>
      </c>
      <c r="G17" s="457">
        <f>IF(ISNUMBER((Datos!N17-Datos!X17)/Datos!X17),(Datos!N17-Datos!X17)/Datos!X17," - ")</f>
        <v>0.26923076923076922</v>
      </c>
      <c r="H17" s="455">
        <f>IF(ISNUMBER(((NºAsuntos!G17/NºAsuntos!E17)-Datos!BD17)/Datos!BD17),((NºAsuntos!G17/NºAsuntos!E17)-Datos!BD17)/Datos!BD17," - ")</f>
        <v>-4.1083384053560061E-3</v>
      </c>
      <c r="I17" s="456">
        <f>IF(ISNUMBER(((NºAsuntos!I17/NºAsuntos!G17)-Datos!BE17)/Datos!BE17),((NºAsuntos!I17/NºAsuntos!G17)-Datos!BE17)/Datos!BE17," - ")</f>
        <v>0.77946017116524025</v>
      </c>
      <c r="J17" s="461">
        <f>IF(ISNUMBER((('Resol  Asuntos'!D17/NºAsuntos!G17)-Datos!BF17)/Datos!BF17),(('Resol  Asuntos'!D17/NºAsuntos!G17)-Datos!BF17)/Datos!BF17," - ")</f>
        <v>0.3968678380443087</v>
      </c>
      <c r="K17" s="462">
        <f>IF(ISNUMBER((((NºAsuntos!C17+NºAsuntos!E17)/NºAsuntos!G17)-Datos!BG17)/Datos!BG17),(((NºAsuntos!C17+NºAsuntos!E17)/NºAsuntos!G17)-Datos!BG17)/Datos!BG17," - ")</f>
        <v>0.45371428571428557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-2.7050610820244327E-2</v>
      </c>
      <c r="C18" s="855">
        <f>IF(ISNUMBER(
   IF(Criterios!B14="SI",(Datos!J18-Datos!T18)/Datos!T18,(Datos!J18+Datos!AD18-(Datos!T18+Datos!AL18))/(Datos!T18+Datos!AL18))
     ),IF(Criterios!B14="SI",(Datos!J18-Datos!T18)/Datos!T18,(Datos!J18+Datos!AD18-(Datos!T18+Datos!AL18))/(Datos!T18+Datos!AL18))," - ")</f>
        <v>-3.5491905354919057E-2</v>
      </c>
      <c r="D18" s="855">
        <f>IF(ISNUMBER(
   IF(Criterios!B14="SI",(Datos!K18-Datos!U18)/Datos!U18,(Datos!K18+Datos!AE18-(Datos!U18+Datos!AM18))/(Datos!U18+Datos!AM18))
     ),IF(Criterios!B14="SI",(Datos!K18-Datos!U18)/Datos!U18,(Datos!K18+Datos!AE18-(Datos!U18+Datos!AM18))/(Datos!U18+Datos!AM18))," - ")</f>
        <v>-0.18746041798606713</v>
      </c>
      <c r="E18" s="855">
        <f>IF(ISNUMBER(
   IF(Criterios!B14="SI",(Datos!L18-Datos!V18)/Datos!V18,(Datos!L18+Datos!AF18-(Datos!V18+Datos!AN18))/(Datos!V18+Datos!AN18))
     ),IF(Criterios!B14="SI",(Datos!L18-Datos!V18)/Datos!V18,(Datos!L18+Datos!AF18-(Datos!V18+Datos!AN18))/(Datos!V18+Datos!AN18))," - ")</f>
        <v>7.3863636363636367E-2</v>
      </c>
      <c r="F18" s="856">
        <f>IF(ISNUMBER((Datos!M18-Datos!W18)/Datos!W18),(Datos!M18-Datos!W18)/Datos!W18," - ")</f>
        <v>-5.6872037914691941E-2</v>
      </c>
      <c r="G18" s="857">
        <f>IF(ISNUMBER((Datos!N18-Datos!X18)/Datos!X18),(Datos!N18-Datos!X18)/Datos!X18," - ")</f>
        <v>-0.18362573099415205</v>
      </c>
      <c r="H18" s="857">
        <f>IF(ISNUMBER(((NºAsuntos!G18/NºAsuntos!E18)-Datos!BD18)/Datos!BD18),((NºAsuntos!G18/NºAsuntos!E18)-Datos!BD18)/Datos!BD18," - ")</f>
        <v>-0.15756063995198438</v>
      </c>
      <c r="I18" s="857">
        <f>IF(ISNUMBER(((NºAsuntos!I18/NºAsuntos!G18)-Datos!BE18)/Datos!BE18),((NºAsuntos!I18/NºAsuntos!G18)-Datos!BE18)/Datos!BE18," - ")</f>
        <v>0.32161393750442857</v>
      </c>
      <c r="J18" s="857">
        <f>IF(ISNUMBER((('Resol  Asuntos'!D18/NºAsuntos!G18)-Datos!BF18)/Datos!BF18),(('Resol  Asuntos'!D18/NºAsuntos!G18)-Datos!BF18)/Datos!BF18," - ")</f>
        <v>0.16071633057887874</v>
      </c>
      <c r="K18" s="857">
        <f>IF(ISNUMBER((((NºAsuntos!C18+NºAsuntos!E18)/NºAsuntos!G18)-Datos!BG18)/Datos!BG18),(((NºAsuntos!C18+NºAsuntos!E18)/NºAsuntos!G18)-Datos!BG18)/Datos!BG18," - ")</f>
        <v>0.19313759639313802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7.8181035719408987E-2</v>
      </c>
      <c r="C19" s="802">
        <f>IF(ISNUMBER(
   IF(J_V="SI",(Datos!J19-Datos!T19)/Datos!T19,(Datos!J19+Datos!Z19-(Datos!T19+Datos!AH19))/(Datos!T19+Datos!AH19))
     ),IF(J_V="SI",(Datos!J19-Datos!T19)/Datos!T19,(Datos!J19+Datos!Z19-(Datos!T19+Datos!AH19))/(Datos!T19+Datos!AH19))," - ")</f>
        <v>5.319493999351281E-2</v>
      </c>
      <c r="D19" s="802">
        <f>IF(ISNUMBER(
   IF(J_V="SI",(Datos!K19-Datos!U19)/Datos!U19,(Datos!K19+Datos!AA19-(Datos!U19+Datos!AI19))/(Datos!U19+Datos!AI19))
     ),IF(J_V="SI",(Datos!K19-Datos!U19)/Datos!U19,(Datos!K19+Datos!AA19-(Datos!U19+Datos!AI19))/(Datos!U19+Datos!AI19))," - ")</f>
        <v>2.0939086294416244E-2</v>
      </c>
      <c r="E19" s="802">
        <f>IF(ISNUMBER(
   IF(J_V="SI",(Datos!L19-Datos!V19)/Datos!V19,(Datos!L19+Datos!AB19-(Datos!V19+Datos!AJ19))/(Datos!V19+Datos!AJ19))
     ),IF(J_V="SI",(Datos!L19-Datos!V19)/Datos!V19,(Datos!L19+Datos!AB19-(Datos!V19+Datos!AJ19))/(Datos!V19+Datos!AJ19))," - ")</f>
        <v>8.6030912802566348E-2</v>
      </c>
      <c r="F19" s="803">
        <f>IF(ISNUMBER((Datos!M19-Datos!W19)/Datos!W19),(Datos!M19-Datos!W19)/Datos!W19," - ")</f>
        <v>8.2706766917293228E-2</v>
      </c>
      <c r="G19" s="804">
        <f>IF(ISNUMBER((Datos!N19-Datos!X19)/Datos!X19),(Datos!N19-Datos!X19)/Datos!X19," - ")</f>
        <v>6.25E-2</v>
      </c>
      <c r="H19" s="805">
        <f>IF(ISNUMBER((Tasas!B19-Datos!BD19)/Datos!BD19),(Tasas!B19-Datos!BD19)/Datos!BD19," - ")</f>
        <v>-3.0626669835021512E-2</v>
      </c>
      <c r="I19" s="806">
        <f>IF(ISNUMBER((Tasas!C19-Datos!BE19)/Datos!BE19),(Tasas!C19-Datos!BE19)/Datos!BE19," - ")</f>
        <v>6.3756817014819556E-2</v>
      </c>
      <c r="J19" s="807">
        <f>IF(ISNUMBER((Tasas!D19-Datos!BF19)/Datos!BF19),(Tasas!D19-Datos!BF19)/Datos!BF19," - ")</f>
        <v>-0.40486661264564039</v>
      </c>
      <c r="K19" s="807">
        <f>IF(ISNUMBER((Tasas!E19-Datos!BG19)/Datos!BG19),(Tasas!E19-Datos!BG19)/Datos!BG19," - ")</f>
        <v>4.8563240168719796E-2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G1tLNykxN38rJVw09+QJamONx1eUHc2xfImtJp1/81ULqsZhr4Gv8+QG4AB/f2WMyGSGsxIV3AyhhQk6NNAWhA==" saltValue="dt+Hoyky694lxXYGz0tC5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SAGUNT-SAGUNTO</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0.8</v>
      </c>
      <c r="C10" s="443">
        <f>IF(ISNUMBER(NºAsuntos!I10/NºAsuntos!G10),NºAsuntos!I10/NºAsuntos!G10," - ")</f>
        <v>3.1</v>
      </c>
      <c r="D10" s="444">
        <f>IF(ISNUMBER('Resol  Asuntos'!D10/NºAsuntos!G10),'Resol  Asuntos'!D10/NºAsuntos!G10," - ")</f>
        <v>0.8</v>
      </c>
      <c r="E10" s="445">
        <f>IF(ISNUMBER((NºAsuntos!C10+NºAsuntos!E10)/NºAsuntos!G10),(NºAsuntos!C10+NºAsuntos!E10)/NºAsuntos!G10," - ")</f>
        <v>4.0999999999999996</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1.1446503287507472</v>
      </c>
      <c r="C12" s="443">
        <f>IF(ISNUMBER(NºAsuntos!I12/NºAsuntos!G12),NºAsuntos!I12/NºAsuntos!G12," - ")</f>
        <v>2.5738903394255876</v>
      </c>
      <c r="D12" s="444">
        <f>IF(ISNUMBER('Resol  Asuntos'!D12/NºAsuntos!G12),'Resol  Asuntos'!D12/NºAsuntos!G12," - ")</f>
        <v>0.18851174934725848</v>
      </c>
      <c r="E12" s="445">
        <f>IF(ISNUMBER((NºAsuntos!C12+NºAsuntos!E12)/NºAsuntos!G12),(NºAsuntos!C12+NºAsuntos!E12)/NºAsuntos!G12," - ")</f>
        <v>3.6041775456919058</v>
      </c>
      <c r="G12" s="463"/>
    </row>
    <row r="13" spans="1:7" ht="14.25" thickTop="1" thickBot="1">
      <c r="A13" s="848" t="str">
        <f>Datos!A13</f>
        <v>TOTAL</v>
      </c>
      <c r="B13" s="858">
        <f>IF(ISNUMBER(NºAsuntos!G13/NºAsuntos!E13),NºAsuntos!G13/NºAsuntos!E13," - ")</f>
        <v>1.1395759717314489</v>
      </c>
      <c r="C13" s="859">
        <f>IF(ISNUMBER(NºAsuntos!I13/NºAsuntos!G13),NºAsuntos!I13/NºAsuntos!G13," - ")</f>
        <v>2.5793281653746769</v>
      </c>
      <c r="D13" s="860">
        <f>IF(ISNUMBER('Resol  Asuntos'!D13/NºAsuntos!G13),'Resol  Asuntos'!D13/NºAsuntos!G13," - ")</f>
        <v>0.19483204134366924</v>
      </c>
      <c r="E13" s="861">
        <f>IF(ISNUMBER((NºAsuntos!C13+NºAsuntos!E13)/NºAsuntos!G13),(NºAsuntos!C13+NºAsuntos!E13)/NºAsuntos!G13," - ")</f>
        <v>3.6093023255813952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0.81684210526315792</v>
      </c>
      <c r="C16" s="443">
        <f>IF(ISNUMBER(NºAsuntos!I16/NºAsuntos!G16),NºAsuntos!I16/NºAsuntos!G16," - ")</f>
        <v>1.8625429553264605</v>
      </c>
      <c r="D16" s="444">
        <f>IF(ISNUMBER('Resol  Asuntos'!D16/NºAsuntos!G16),'Resol  Asuntos'!D16/NºAsuntos!G16," - ")</f>
        <v>0.15120274914089346</v>
      </c>
      <c r="E16" s="445">
        <f>IF(ISNUMBER((NºAsuntos!C16+NºAsuntos!E16)/NºAsuntos!G16),(NºAsuntos!C16+NºAsuntos!E16)/NºAsuntos!G16," - ")</f>
        <v>2.8960481099656357</v>
      </c>
      <c r="G16" s="463"/>
    </row>
    <row r="17" spans="1:7" ht="13.5" thickBot="1">
      <c r="A17" s="402" t="str">
        <f>Datos!A17</f>
        <v>Jdos. Violencia contra la mujer</v>
      </c>
      <c r="B17" s="442">
        <f>IF(ISNUMBER(NºAsuntos!G17/NºAsuntos!E17),NºAsuntos!G17/NºAsuntos!E17," - ")</f>
        <v>0.95967741935483875</v>
      </c>
      <c r="C17" s="443">
        <f>IF(ISNUMBER(NºAsuntos!I17/NºAsuntos!G17),NºAsuntos!I17/NºAsuntos!G17," - ")</f>
        <v>2.4285714285714284</v>
      </c>
      <c r="D17" s="444">
        <f>IF(ISNUMBER('Resol  Asuntos'!D17/NºAsuntos!G17),'Resol  Asuntos'!D17/NºAsuntos!G17," - ")</f>
        <v>0.19327731092436976</v>
      </c>
      <c r="E17" s="445">
        <f>IF(ISNUMBER((NºAsuntos!C17+NºAsuntos!E17)/NºAsuntos!G17),(NºAsuntos!C17+NºAsuntos!E17)/NºAsuntos!G17," - ")</f>
        <v>3.4285714285714284</v>
      </c>
      <c r="G17" s="463"/>
    </row>
    <row r="18" spans="1:7" ht="14.25" thickTop="1" thickBot="1">
      <c r="A18" s="848" t="str">
        <f>Datos!A18</f>
        <v>TOTAL</v>
      </c>
      <c r="B18" s="858">
        <f>IF(ISNUMBER(NºAsuntos!G18/NºAsuntos!E18),NºAsuntos!G18/NºAsuntos!E18," - ")</f>
        <v>0.8282763072950291</v>
      </c>
      <c r="C18" s="859">
        <f>IF(ISNUMBER(NºAsuntos!I18/NºAsuntos!G18),NºAsuntos!I18/NºAsuntos!G18," - ")</f>
        <v>1.9150428682774747</v>
      </c>
      <c r="D18" s="862">
        <f>IF(ISNUMBER('Resol  Asuntos'!D18/NºAsuntos!G18),'Resol  Asuntos'!D18/NºAsuntos!G18," - ")</f>
        <v>0.15510522213561964</v>
      </c>
      <c r="E18" s="861">
        <f>IF(ISNUMBER((NºAsuntos!C18+NºAsuntos!E18)/NºAsuntos!G18),(NºAsuntos!C18+NºAsuntos!E18)/NºAsuntos!G18," - ")</f>
        <v>2.945440374123149</v>
      </c>
      <c r="G18" s="463"/>
    </row>
    <row r="19" spans="1:7" ht="15.75" customHeight="1" thickTop="1" thickBot="1">
      <c r="A19" s="793" t="str">
        <f>Datos!A19</f>
        <v>TOTAL JURISDICCIONES</v>
      </c>
      <c r="B19" s="808">
        <f>IF(ISNUMBER(NºAsuntos!G19/NºAsuntos!E19),NºAsuntos!G19/NºAsuntos!E19," - ")</f>
        <v>0.99106867878041272</v>
      </c>
      <c r="C19" s="809">
        <f>IF(ISNUMBER(NºAsuntos!I19/NºAsuntos!G19),NºAsuntos!I19/NºAsuntos!G19," - ")</f>
        <v>2.3144810441267869</v>
      </c>
      <c r="D19" s="810">
        <f>IF(ISNUMBER('Resol  Asuntos'!D19/NºAsuntos!G19),'Resol  Asuntos'!D19/NºAsuntos!G19," - ")</f>
        <v>0.17899316345556246</v>
      </c>
      <c r="E19" s="811">
        <f>IF(ISNUMBER((NºAsuntos!C19+NºAsuntos!E19)/NºAsuntos!G19),(NºAsuntos!C19+NºAsuntos!E19)/NºAsuntos!G19," - ")</f>
        <v>3.3446239900559354</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jFA5pR8Yoxi+4Q3fV9nu4kXDIEP7u2vWDm2SHTjUMliY2zivs39NaMCH6gonAKBC/qE0QyeuPkf+avOLuxi7oA==" saltValue="LetOZqCwLE7leotWBJegT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SAGUNT-SAGUNTO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57</v>
      </c>
      <c r="G10" s="333">
        <f>IF(ISNUMBER(Datos!I10),Datos!I10," - ")</f>
        <v>57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6</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20</v>
      </c>
      <c r="X10" s="226">
        <f>IF(ISNUMBER(Datos!Q10),Datos!Q10," - ")</f>
        <v>2</v>
      </c>
      <c r="Y10" s="334">
        <f t="shared" ref="Y10:Y12" si="0">SUM(W10:X10)</f>
        <v>22</v>
      </c>
      <c r="Z10" s="335" t="str">
        <f>IF(ISNUMBER(Datos!CC10),Datos!CC10," - ")</f>
        <v xml:space="preserve"> - </v>
      </c>
      <c r="AA10" s="332">
        <f>IF(ISNUMBER(Datos!L10),Datos!L10,"-")</f>
        <v>62</v>
      </c>
      <c r="AB10" s="334">
        <f>IF(ISNUMBER(Datos!R10),Datos!R10," - ")</f>
        <v>13</v>
      </c>
      <c r="AC10" s="334">
        <f t="shared" ref="AC10:AC12" si="1">IF(ISNUMBER(AA10+AB10),AA10+AB10," - ")</f>
        <v>75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16</v>
      </c>
      <c r="AJ10" s="231" t="str">
        <f>IF(ISNUMBER(Datos!BW10),Datos!BW10," - ")</f>
        <v xml:space="preserve"> - </v>
      </c>
      <c r="AK10" s="232" t="str">
        <f>IF(ISNUMBER(Datos!BX10),Datos!BX10," - ")</f>
        <v xml:space="preserve"> - </v>
      </c>
      <c r="AL10" s="243">
        <f>IF(ISNUMBER(NºAsuntos!G10/NºAsuntos!E10),NºAsuntos!G10/NºAsuntos!E10," - ")</f>
        <v>0.8</v>
      </c>
      <c r="AM10" s="260">
        <f>IF(ISNUMBER(((NºAsuntos!I10/NºAsuntos!G10)*11)/factor_trimestre),((NºAsuntos!I10/NºAsuntos!G10)*11)/factor_trimestre," - ")</f>
        <v>9.3000000000000007</v>
      </c>
      <c r="AN10" s="244">
        <f>IF(ISNUMBER('Resol  Asuntos'!D10/NºAsuntos!G10),'Resol  Asuntos'!D10/NºAsuntos!G10," - ")</f>
        <v>0.8</v>
      </c>
      <c r="AO10" s="245">
        <f>IF(ISNUMBER((NºAsuntos!C10+NºAsuntos!E10)/NºAsuntos!G10),(NºAsuntos!C10+NºAsuntos!E10)/NºAsuntos!G10," - ")</f>
        <v>4.0999999999999996</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7</v>
      </c>
      <c r="B12" s="275" t="s">
        <v>246</v>
      </c>
      <c r="C12" s="7" t="str">
        <f>Datos!A12</f>
        <v xml:space="preserve">Jdos. 1ª Instª. e Instr.                        </v>
      </c>
      <c r="D12" s="7"/>
      <c r="E12" s="1025">
        <f>IF(ISNUMBER(Datos!AQ12),Datos!AQ12," - ")</f>
        <v>7</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376</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178</v>
      </c>
      <c r="Y12" s="334">
        <f t="shared" si="0"/>
        <v>178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4245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361</v>
      </c>
      <c r="AJ12" s="229" t="str">
        <f>IF(ISNUMBER(Datos!BW12),Datos!BW12," - ")</f>
        <v xml:space="preserve"> - </v>
      </c>
      <c r="AK12" s="228" t="str">
        <f>IF(ISNUMBER(Datos!BX12),Datos!BX12," - ")</f>
        <v xml:space="preserve"> - </v>
      </c>
      <c r="AL12" s="243">
        <f>IF(ISNUMBER(NºAsuntos!G12/NºAsuntos!E12),NºAsuntos!G12/NºAsuntos!E12," - ")</f>
        <v>1.1446503287507472</v>
      </c>
      <c r="AM12" s="260">
        <f>IF(ISNUMBER(((NºAsuntos!I12/NºAsuntos!G12)*11)/factor_trimestre),((NºAsuntos!I12/NºAsuntos!G12)*11)/factor_trimestre," - ")</f>
        <v>7.7216710182767629</v>
      </c>
      <c r="AN12" s="244">
        <f>IF(ISNUMBER('Resol  Asuntos'!D12/NºAsuntos!G12),'Resol  Asuntos'!D12/NºAsuntos!G12," - ")</f>
        <v>0.18851174934725848</v>
      </c>
      <c r="AO12" s="245">
        <f>IF(ISNUMBER((NºAsuntos!C12+NºAsuntos!E12)/NºAsuntos!G12),(NºAsuntos!C12+NºAsuntos!E12)/NºAsuntos!G12," - ")</f>
        <v>3.6041775456919058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7</v>
      </c>
      <c r="F13" s="865">
        <f t="shared" si="3"/>
        <v>57</v>
      </c>
      <c r="G13" s="866">
        <f t="shared" si="3"/>
        <v>57</v>
      </c>
      <c r="H13" s="865">
        <f t="shared" si="3"/>
        <v>0</v>
      </c>
      <c r="I13" s="867">
        <f t="shared" si="3"/>
        <v>0</v>
      </c>
      <c r="J13" s="867">
        <f t="shared" si="3"/>
        <v>0</v>
      </c>
      <c r="K13" s="867">
        <f t="shared" si="3"/>
        <v>0</v>
      </c>
      <c r="L13" s="867">
        <f t="shared" si="3"/>
        <v>382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20</v>
      </c>
      <c r="X13" s="867">
        <f t="shared" si="4"/>
        <v>180</v>
      </c>
      <c r="Y13" s="868">
        <f t="shared" si="4"/>
        <v>200</v>
      </c>
      <c r="Z13" s="868">
        <f t="shared" si="4"/>
        <v>0</v>
      </c>
      <c r="AA13" s="868">
        <f t="shared" si="4"/>
        <v>62</v>
      </c>
      <c r="AB13" s="868">
        <f t="shared" si="4"/>
        <v>4258</v>
      </c>
      <c r="AC13" s="868">
        <f t="shared" si="4"/>
        <v>75</v>
      </c>
      <c r="AD13" s="868">
        <f t="shared" si="4"/>
        <v>0</v>
      </c>
      <c r="AE13" s="872">
        <f t="shared" si="4"/>
        <v>0</v>
      </c>
      <c r="AF13" s="865">
        <f t="shared" si="4"/>
        <v>0</v>
      </c>
      <c r="AG13" s="873">
        <f t="shared" si="4"/>
        <v>0</v>
      </c>
      <c r="AH13" s="870">
        <f t="shared" si="4"/>
        <v>0</v>
      </c>
      <c r="AI13" s="865">
        <f t="shared" si="4"/>
        <v>377</v>
      </c>
      <c r="AJ13" s="867">
        <f t="shared" si="4"/>
        <v>0</v>
      </c>
      <c r="AK13" s="870">
        <f>SUBTOTAL(9,AK9:AK12)</f>
        <v>0</v>
      </c>
      <c r="AL13" s="874">
        <f>IF(ISNUMBER(NºAsuntos!G13/NºAsuntos!E13),NºAsuntos!G13/NºAsuntos!E13," - ")</f>
        <v>1.1395759717314489</v>
      </c>
      <c r="AM13" s="874">
        <f>IF(ISNUMBER(((NºAsuntos!I13/NºAsuntos!G13)*11)/factor_trimestre),((NºAsuntos!I13/NºAsuntos!G13)*11)/factor_trimestre," - ")</f>
        <v>7.7379844961240316</v>
      </c>
      <c r="AN13" s="875">
        <f>IF(ISNUMBER('Resol  Asuntos'!D13/NºAsuntos!G13),'Resol  Asuntos'!D13/NºAsuntos!G13," - ")</f>
        <v>0.19483204134366924</v>
      </c>
      <c r="AO13" s="876">
        <f>IF(ISNUMBER((NºAsuntos!C13+NºAsuntos!E13)/NºAsuntos!G13),(NºAsuntos!C13+NºAsuntos!E13)/NºAsuntos!G13," - ")</f>
        <v>3.6093023255813952</v>
      </c>
      <c r="AP13" s="877" t="str">
        <f t="shared" si="2"/>
        <v xml:space="preserve"> - </v>
      </c>
      <c r="AQ13" s="877">
        <f>IF(ISNUMBER((H13-W13+K13)/(F13)),(H13-W13+K13)/(F13)," - ")</f>
        <v>-0.35087719298245612</v>
      </c>
      <c r="AR13" s="878">
        <f>IF(ISNUMBER((Datos!P13-Datos!Q13)/(Datos!R13-Datos!P13+Datos!Q13)),(Datos!P13-Datos!Q13)/(Datos!R13-Datos!P13+Datos!Q13)," - ")</f>
        <v>4.9802761341222877E-2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7</v>
      </c>
      <c r="B16" s="275" t="s">
        <v>396</v>
      </c>
      <c r="C16" s="160" t="str">
        <f>Datos!A16</f>
        <v xml:space="preserve">Jdos. 1ª Instª. e Instr.                        </v>
      </c>
      <c r="D16" s="160"/>
      <c r="E16" s="1025">
        <f>IF(ISNUMBER(Datos!AQ16),Datos!AQ16," - ")</f>
        <v>7</v>
      </c>
      <c r="F16" s="225">
        <f>IF(ISNUMBER(AA16+W16-Datos!J16-K16),AA16+W16-Datos!J16-K16," - ")</f>
        <v>1907</v>
      </c>
      <c r="G16" s="333">
        <f>IF(ISNUMBER(IF(D_I="SI",Datos!I16,Datos!I16+Datos!AC16)),IF(D_I="SI",Datos!I16,Datos!I16+Datos!AC16)," - ")</f>
        <v>1946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56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1164</v>
      </c>
      <c r="X16" s="226">
        <f>IF(ISNUMBER(Datos!Q16),Datos!Q16," - ")</f>
        <v>38</v>
      </c>
      <c r="Y16" s="334">
        <f t="shared" ref="Y16:Y17" si="7">SUM(W16:X16)</f>
        <v>1202</v>
      </c>
      <c r="Z16" s="335" t="str">
        <f>IF(ISNUMBER(Datos!CC16),Datos!CC16," - ")</f>
        <v xml:space="preserve"> - </v>
      </c>
      <c r="AA16" s="332">
        <f>IF(ISNUMBER(IF(D_I="SI",Datos!L16,Datos!L16+Datos!AF16)),IF(D_I="SI",Datos!L16,Datos!L16+Datos!AF16)," - ")</f>
        <v>2168</v>
      </c>
      <c r="AB16" s="334">
        <f>IF(ISNUMBER(Datos!R16),Datos!R16," - ")</f>
        <v>315</v>
      </c>
      <c r="AC16" s="334">
        <f t="shared" si="6"/>
        <v>2483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176</v>
      </c>
      <c r="AJ16" s="231" t="str">
        <f>IF(ISNUMBER(Datos!BW16),Datos!BW16," - ")</f>
        <v xml:space="preserve"> - </v>
      </c>
      <c r="AK16" s="232" t="str">
        <f>IF(ISNUMBER(Datos!BX16),Datos!BX16," - ")</f>
        <v xml:space="preserve"> - </v>
      </c>
      <c r="AL16" s="243">
        <f>IF(ISNUMBER(NºAsuntos!G16/NºAsuntos!E16),NºAsuntos!G16/NºAsuntos!E16," - ")</f>
        <v>0.81684210526315792</v>
      </c>
      <c r="AM16" s="260">
        <f>IF(ISNUMBER(((NºAsuntos!I16/NºAsuntos!G16)*11)/factor_trimestre),((NºAsuntos!I16/NºAsuntos!G16)*11)/factor_trimestre," - ")</f>
        <v>5.587628865979382</v>
      </c>
      <c r="AN16" s="244">
        <f>IF(ISNUMBER('Resol  Asuntos'!D16/NºAsuntos!G16),'Resol  Asuntos'!D16/NºAsuntos!G16," - ")</f>
        <v>0.15120274914089346</v>
      </c>
      <c r="AO16" s="245">
        <f>IF(ISNUMBER((NºAsuntos!C16+NºAsuntos!E16)/NºAsuntos!G16),(NºAsuntos!C16+NºAsuntos!E16)/NºAsuntos!G16," - ")</f>
        <v>2.8960481099656357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284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119</v>
      </c>
      <c r="X17" s="226">
        <f>IF(ISNUMBER(Datos!Q17),Datos!Q17," - ")</f>
        <v>0</v>
      </c>
      <c r="Y17" s="334">
        <f t="shared" si="7"/>
        <v>119</v>
      </c>
      <c r="Z17" s="335" t="str">
        <f>IF(ISNUMBER(Datos!CC17),Datos!CC17," - ")</f>
        <v xml:space="preserve"> - </v>
      </c>
      <c r="AA17" s="332">
        <f>IF(ISNUMBER(Datos!L17),Datos!L17,"-")</f>
        <v>289</v>
      </c>
      <c r="AB17" s="334">
        <f>IF(ISNUMBER(Datos!R17),Datos!R17," - ")</f>
        <v>20</v>
      </c>
      <c r="AC17" s="334">
        <f t="shared" si="6"/>
        <v>309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23</v>
      </c>
      <c r="AJ17" s="231" t="str">
        <f>IF(ISNUMBER(Datos!BW17),Datos!BW17," - ")</f>
        <v xml:space="preserve"> - </v>
      </c>
      <c r="AK17" s="232" t="str">
        <f>IF(ISNUMBER(Datos!BX17),Datos!BX17," - ")</f>
        <v xml:space="preserve"> - </v>
      </c>
      <c r="AL17" s="243">
        <f>IF(ISNUMBER(NºAsuntos!G17/NºAsuntos!E17),NºAsuntos!G17/NºAsuntos!E17," - ")</f>
        <v>0.95967741935483875</v>
      </c>
      <c r="AM17" s="260">
        <f>IF(ISNUMBER(((NºAsuntos!I17/NºAsuntos!G17)*11)/factor_trimestre),((NºAsuntos!I17/NºAsuntos!G17)*11)/factor_trimestre," - ")</f>
        <v>7.2857142857142856</v>
      </c>
      <c r="AN17" s="244">
        <f>IF(ISNUMBER('Resol  Asuntos'!D17/NºAsuntos!G17),'Resol  Asuntos'!D17/NºAsuntos!G17," - ")</f>
        <v>0.19327731092436976</v>
      </c>
      <c r="AO17" s="245">
        <f>IF(ISNUMBER((NºAsuntos!C17+NºAsuntos!E17)/NºAsuntos!G17),(NºAsuntos!C17+NºAsuntos!E17)/NºAsuntos!G17," - ")</f>
        <v>3.4285714285714284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7</v>
      </c>
      <c r="F18" s="865">
        <f>SUBTOTAL(9,F14:F17)</f>
        <v>1907</v>
      </c>
      <c r="G18" s="866">
        <f>SUBTOTAL(9,G15:G17)</f>
        <v>2230</v>
      </c>
      <c r="H18" s="865">
        <f t="shared" ref="H18:O18" si="10">SUBTOTAL(9,H14:H17)</f>
        <v>0</v>
      </c>
      <c r="I18" s="867">
        <f t="shared" si="10"/>
        <v>0</v>
      </c>
      <c r="J18" s="867">
        <f t="shared" si="10"/>
        <v>0</v>
      </c>
      <c r="K18" s="867">
        <f t="shared" si="10"/>
        <v>0</v>
      </c>
      <c r="L18" s="867">
        <f t="shared" si="10"/>
        <v>56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1283</v>
      </c>
      <c r="X18" s="867">
        <f t="shared" si="11"/>
        <v>38</v>
      </c>
      <c r="Y18" s="868">
        <f t="shared" si="11"/>
        <v>1321</v>
      </c>
      <c r="Z18" s="868">
        <f t="shared" si="11"/>
        <v>0</v>
      </c>
      <c r="AA18" s="868">
        <f t="shared" si="11"/>
        <v>2457</v>
      </c>
      <c r="AB18" s="868">
        <f t="shared" si="11"/>
        <v>335</v>
      </c>
      <c r="AC18" s="868">
        <f t="shared" si="11"/>
        <v>2792</v>
      </c>
      <c r="AD18" s="868">
        <f t="shared" si="11"/>
        <v>0</v>
      </c>
      <c r="AE18" s="872">
        <f t="shared" si="11"/>
        <v>0</v>
      </c>
      <c r="AF18" s="865">
        <f t="shared" si="11"/>
        <v>0</v>
      </c>
      <c r="AG18" s="873">
        <f t="shared" si="11"/>
        <v>0</v>
      </c>
      <c r="AH18" s="870">
        <f t="shared" si="11"/>
        <v>0</v>
      </c>
      <c r="AI18" s="865">
        <f t="shared" si="11"/>
        <v>199</v>
      </c>
      <c r="AJ18" s="867">
        <f t="shared" si="11"/>
        <v>0</v>
      </c>
      <c r="AK18" s="870">
        <f t="shared" si="11"/>
        <v>0</v>
      </c>
      <c r="AL18" s="874">
        <f>IF(ISNUMBER(NºAsuntos!G18/NºAsuntos!E18),NºAsuntos!G18/NºAsuntos!E18," - ")</f>
        <v>0.8282763072950291</v>
      </c>
      <c r="AM18" s="874">
        <f>IF(ISNUMBER(((NºAsuntos!I18/NºAsuntos!G18)*11)/factor_trimestre),((NºAsuntos!I18/NºAsuntos!G18)*11)/factor_trimestre," - ")</f>
        <v>5.7451286048324244</v>
      </c>
      <c r="AN18" s="875">
        <f>IF(ISNUMBER('Resol  Asuntos'!D18/NºAsuntos!G18),'Resol  Asuntos'!D18/NºAsuntos!G18," - ")</f>
        <v>0.15510522213561964</v>
      </c>
      <c r="AO18" s="876">
        <f>IF(ISNUMBER((NºAsuntos!C18+NºAsuntos!E18)/NºAsuntos!G18),(NºAsuntos!C18+NºAsuntos!E18)/NºAsuntos!G18," - ")</f>
        <v>2.945440374123149</v>
      </c>
      <c r="AP18" s="877" t="str">
        <f t="shared" si="2"/>
        <v xml:space="preserve"> - </v>
      </c>
      <c r="AQ18" s="877">
        <f>IF(ISNUMBER((H18-W18+K18)/(F18)),(H18-W18+K18)/(F18)," - ")</f>
        <v>-0.6727844782380703</v>
      </c>
      <c r="AR18" s="878">
        <f>IF(ISNUMBER((Datos!P18-Datos!Q18)/(Datos!R18-Datos!P18+Datos!Q18)),(Datos!P18-Datos!Q18)/(Datos!R18-Datos!P18+Datos!Q18)," - ")</f>
        <v>5.6782334384858045E-2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14</v>
      </c>
      <c r="F19" s="820">
        <f t="shared" si="13"/>
        <v>1964</v>
      </c>
      <c r="G19" s="821">
        <f t="shared" si="13"/>
        <v>2287</v>
      </c>
      <c r="H19" s="820">
        <f t="shared" si="13"/>
        <v>0</v>
      </c>
      <c r="I19" s="822">
        <f t="shared" si="13"/>
        <v>0</v>
      </c>
      <c r="J19" s="822">
        <f t="shared" si="13"/>
        <v>0</v>
      </c>
      <c r="K19" s="881">
        <f t="shared" si="13"/>
        <v>0</v>
      </c>
      <c r="L19" s="822">
        <f t="shared" si="13"/>
        <v>438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1303</v>
      </c>
      <c r="X19" s="821">
        <f t="shared" si="14"/>
        <v>218</v>
      </c>
      <c r="Y19" s="828">
        <f t="shared" si="14"/>
        <v>1521</v>
      </c>
      <c r="Z19" s="828">
        <f t="shared" si="14"/>
        <v>0</v>
      </c>
      <c r="AA19" s="828">
        <f t="shared" si="14"/>
        <v>2519</v>
      </c>
      <c r="AB19" s="828">
        <f t="shared" si="14"/>
        <v>4593</v>
      </c>
      <c r="AC19" s="828">
        <f t="shared" si="14"/>
        <v>2867</v>
      </c>
      <c r="AD19" s="828">
        <f t="shared" si="14"/>
        <v>0</v>
      </c>
      <c r="AE19" s="830">
        <f t="shared" si="14"/>
        <v>0</v>
      </c>
      <c r="AF19" s="831">
        <f t="shared" si="14"/>
        <v>0</v>
      </c>
      <c r="AG19" s="832">
        <f t="shared" si="14"/>
        <v>0</v>
      </c>
      <c r="AH19" s="830">
        <f t="shared" si="14"/>
        <v>0</v>
      </c>
      <c r="AI19" s="820">
        <f t="shared" si="14"/>
        <v>576</v>
      </c>
      <c r="AJ19" s="820">
        <f t="shared" si="14"/>
        <v>0</v>
      </c>
      <c r="AK19" s="830">
        <f t="shared" si="14"/>
        <v>0</v>
      </c>
      <c r="AL19" s="884">
        <f>IF(ISNUMBER(NºAsuntos!G19/NºAsuntos!E19),NºAsuntos!G19/NºAsuntos!E19," - ")</f>
        <v>0.99106867878041272</v>
      </c>
      <c r="AM19" s="885">
        <f>IF(ISNUMBER(((NºAsuntos!I19/NºAsuntos!G19)*11)/factor_trimestre),((NºAsuntos!I19/NºAsuntos!G19)*11)/factor_trimestre," - ")</f>
        <v>6.9434431323803603</v>
      </c>
      <c r="AN19" s="885">
        <f>IF(ISNUMBER('Resol  Asuntos'!D19/NºAsuntos!G19),'Resol  Asuntos'!D19/NºAsuntos!G19," - ")</f>
        <v>0.17899316345556246</v>
      </c>
      <c r="AO19" s="886">
        <f>IF(ISNUMBER((NºAsuntos!C19+NºAsuntos!E19)/NºAsuntos!G19),(NºAsuntos!C19+NºAsuntos!E19)/NºAsuntos!G19," - ")</f>
        <v>3.3446239900559354</v>
      </c>
      <c r="AP19" s="887" t="str">
        <f t="shared" si="2"/>
        <v xml:space="preserve"> - </v>
      </c>
      <c r="AQ19" s="888">
        <f>IF(OR(ISNUMBER(FIND("01",Criterios!A8,1)),ISNUMBER(FIND("02",Criterios!A8,1)),ISNUMBER(FIND("03",Criterios!A8,1)),ISNUMBER(FIND("04",Criterios!A8,1))),(I19-W19+K19)/(F19-K19),(H19-W19+K19)/(F19-K19))</f>
        <v>-0.6634419551934827</v>
      </c>
      <c r="AR19" s="889">
        <f>IF(ISNUMBER((Datos!P19-Datos!Q19)/(Datos!R19-Datos!P19+Datos!Q19)),(Datos!P19-Datos!Q19)/(Datos!R19-Datos!P19+Datos!Q19)," - ")</f>
        <v>5.030871255431054E-2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914.8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3.6893239368631092</v>
      </c>
      <c r="F21" s="252">
        <f>IF(ISNUMBER(STDEV(F8:F18)),STDEV(F8:F18),"-")</f>
        <v>1068.0979980008076</v>
      </c>
      <c r="G21" s="253">
        <f>IF(ISNUMBER(STDEV(G8:G18)),STDEV(G8:G18),"-")</f>
        <v>1079.6613821008882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643.75826208290334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156.60651327451231</v>
      </c>
      <c r="AJ21" s="252">
        <f t="shared" si="18"/>
        <v>0</v>
      </c>
      <c r="AK21" s="254">
        <f t="shared" si="18"/>
        <v>0</v>
      </c>
      <c r="AL21" s="249">
        <f t="shared" si="18"/>
        <v>0.16059206000693602</v>
      </c>
      <c r="AM21" s="250">
        <f t="shared" si="18"/>
        <v>1.392121987304298</v>
      </c>
      <c r="AN21" s="250">
        <f t="shared" si="18"/>
        <v>0.25523734579603208</v>
      </c>
      <c r="AO21" s="251">
        <f t="shared" si="18"/>
        <v>0.4541563047574273</v>
      </c>
      <c r="AP21" s="291" t="str">
        <f t="shared" si="18"/>
        <v>-</v>
      </c>
      <c r="AQ21" s="292">
        <f t="shared" si="18"/>
        <v>0.22762282431759717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OlbGNyLxpe3l3OWjDSeEzks7NUC4HseqZ62rhd9YVM4kcLnXr8uaKhrPW2pf29DDOaNS0VgcvDtUg5PIadt2kw==" saltValue="CJiarzgpraj9olti44jXC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SAGUNT-SAGUNTO</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0.54054054054054057</v>
      </c>
      <c r="E10" s="348">
        <f>IF(ISNUMBER((Datos!J10-Datos!T10)/Datos!T10),(Datos!J10-Datos!T10)/Datos!T10," - ")</f>
        <v>1.2727272727272727</v>
      </c>
      <c r="F10" s="348">
        <f>IF(ISNUMBER((Datos!K10-Datos!U10)/Datos!U10),(Datos!K10-Datos!U10)/Datos!U10," - ")</f>
        <v>0.81818181818181823</v>
      </c>
      <c r="G10" s="349">
        <f>IF(ISNUMBER((Datos!L10-Datos!V10)/Datos!V10),(Datos!L10-Datos!V10)/Datos!V10," - ")</f>
        <v>0.67567567567567566</v>
      </c>
      <c r="H10" s="230">
        <f>IF(ISNUMBER((Datos!M10-Datos!W10)/Datos!W10),(Datos!M10-Datos!W10)/Datos!W10," - ")</f>
        <v>0.45454545454545453</v>
      </c>
      <c r="I10" s="350">
        <f>IF(ISNUMBER((Tasas!C10-Datos!BE10)/Datos!BE10),(Tasas!C10-Datos!BE10)/Datos!BE10," - ")</f>
        <v>-7.8378378378378383E-2</v>
      </c>
      <c r="J10" s="349">
        <f>IF(ISNUMBER((Tasas!D10-Datos!BF10)/Datos!BF10),(Tasas!D10-Datos!BF10)/Datos!BF10," - ")</f>
        <v>-0.19999999999999996</v>
      </c>
      <c r="K10" s="351">
        <f>IF(ISNUMBER((Tasas!E10-Datos!BG10)/Datos!BG10),(Tasas!E10-Datos!BG10)/Datos!BG10," - ")</f>
        <v>-6.0416666666666681E-2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0.16451612903225807</v>
      </c>
      <c r="I12" s="350">
        <f>IF(ISNUMBER((Tasas!C12-Datos!BE12)/Datos!BE12),(Tasas!C12-Datos!BE12)/Datos!BE12," - ")</f>
        <v>-0.11307815791247119</v>
      </c>
      <c r="J12" s="349">
        <f>IF(ISNUMBER((Tasas!D12-Datos!BF12)/Datos!BF12),(Tasas!D12-Datos!BF12)/Datos!BF12," - ")</f>
        <v>-0.59441411504074682</v>
      </c>
      <c r="K12" s="351">
        <f>IF(ISNUMBER((Tasas!E12-Datos!BG12)/Datos!BG12),(Tasas!E12-Datos!BG12)/Datos!BG12," - ")</f>
        <v>-7.8302991753314191E-2</v>
      </c>
      <c r="M12" t="e">
        <f>IF(Monitorios="SI",Datos!CE12,0)</f>
        <v>#REF!</v>
      </c>
      <c r="N12" t="e">
        <f>IF(Monitorios="SI",Datos!CF12,0)</f>
        <v>#REF!</v>
      </c>
      <c r="O12" t="e">
        <f>IF(Monitorios="SI",Datos!CG12,0)</f>
        <v>#REF!</v>
      </c>
      <c r="P12" t="e">
        <f>IF(Monitorios="SI",Datos!CH12,0)</f>
        <v>#REF!</v>
      </c>
      <c r="Q12">
        <f>IF(J_V="SI",0,Datos!AG12)</f>
        <v>204</v>
      </c>
      <c r="R12">
        <f>IF(J_V="SI",0,Datos!AH12)</f>
        <v>148</v>
      </c>
      <c r="S12">
        <f>IF(J_V="SI",0,Datos!AI12)</f>
        <v>150</v>
      </c>
      <c r="T12">
        <f>IF(J_V="SI",0,Datos!AJ12)</f>
        <v>202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0.17445482866043613</v>
      </c>
      <c r="I13" s="357">
        <f>IF(ISNUMBER((Tasas!C13-Datos!BE13)/Datos!BE13),(Tasas!C13-Datos!BE13)/Datos!BE13," - ")</f>
        <v>-0.11219185905156082</v>
      </c>
      <c r="J13" s="355">
        <f>IF(ISNUMBER((Tasas!D13-Datos!BF13)/Datos!BF13),(Tasas!D13-Datos!BF13)/Datos!BF13," - ")</f>
        <v>-0.58416444907246712</v>
      </c>
      <c r="K13" s="358">
        <f>IF(ISNUMBER((Tasas!E13-Datos!BG13)/Datos!BG13),(Tasas!E13-Datos!BG13)/Datos!BG13," - ")</f>
        <v>-7.7740000302219836E-2</v>
      </c>
      <c r="M13" t="e">
        <f>IF(Monitorios="SI",Datos!CE13,0)</f>
        <v>#REF!</v>
      </c>
      <c r="N13" t="e">
        <f>IF(Monitorios="SI",Datos!CF13,0)</f>
        <v>#REF!</v>
      </c>
      <c r="O13" t="e">
        <f>IF(Monitorios="SI",Datos!CG13,0)</f>
        <v>#REF!</v>
      </c>
      <c r="P13" t="e">
        <f>IF(Monitorios="SI",Datos!CH13,0)</f>
        <v>#REF!</v>
      </c>
      <c r="Q13">
        <f>IF(J_V="SI",0,Datos!AG13)</f>
        <v>204</v>
      </c>
      <c r="R13">
        <f>IF(J_V="SI",0,Datos!AH13)</f>
        <v>148</v>
      </c>
      <c r="S13">
        <f>IF(J_V="SI",0,Datos!AI13)</f>
        <v>150</v>
      </c>
      <c r="T13">
        <f>IF(J_V="SI",0,Datos!AJ13)</f>
        <v>202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-6.5321805955811718E-2</v>
      </c>
      <c r="E16" s="348">
        <f>IF(ISNUMBER(
   IF(D_I="SI",(Datos!J16-Datos!T16)/Datos!T16,(Datos!J16+Datos!AD16-(Datos!T16+Datos!AL16))/(Datos!T16+Datos!AL16))
     ),IF(D_I="SI",(Datos!J16-Datos!T16)/Datos!T16,(Datos!J16+Datos!AD16-(Datos!T16+Datos!AL16))/(Datos!T16+Datos!AL16))," - ")</f>
        <v>-1.1103400416377515E-2</v>
      </c>
      <c r="F16" s="348">
        <f>IF(ISNUMBER(
   IF(D_I="SI",(Datos!K16-Datos!U16)/Datos!U16,(Datos!K16+Datos!AE16-(Datos!U16+Datos!AM16))/(Datos!U16+Datos!AM16))
     ),IF(D_I="SI",(Datos!K16-Datos!U16)/Datos!U16,(Datos!K16+Datos!AE16-(Datos!U16+Datos!AM16))/(Datos!U16+Datos!AM16))," - ")</f>
        <v>-0.18028169014084508</v>
      </c>
      <c r="G16" s="349">
        <f>IF(ISNUMBER(
   IF(D_I="SI",(Datos!L16-Datos!V16)/Datos!V16,(Datos!L16+Datos!AF16-(Datos!V16+Datos!AN16))/(Datos!V16+Datos!AN16))
     ),IF(D_I="SI",(Datos!L16-Datos!V16)/Datos!V16,(Datos!L16+Datos!AF16-(Datos!V16+Datos!AN16))/(Datos!V16+Datos!AN16))," - ")</f>
        <v>4.6837276677933366E-2</v>
      </c>
      <c r="H16" s="230">
        <f>IF(ISNUMBER((Datos!M16-Datos!W16)/Datos!W16),(Datos!M16-Datos!W16)/Datos!W16," - ")</f>
        <v>-6.8783068783068779E-2</v>
      </c>
      <c r="I16" s="350">
        <f>IF(ISNUMBER((Tasas!C16-Datos!BE16)/Datos!BE16),(Tasas!C16-Datos!BE16)/Datos!BE16," - ")</f>
        <v>0.27706952996792567</v>
      </c>
      <c r="J16" s="349">
        <f>IF(ISNUMBER((Tasas!D16-Datos!BF16)/Datos!BF16),(Tasas!D16-Datos!BF16)/Datos!BF16," - ")</f>
        <v>0.13602065492099857</v>
      </c>
      <c r="K16" s="351">
        <f>IF(ISNUMBER((Tasas!E16-Datos!BG16)/Datos!BG16),(Tasas!E16-Datos!BG16)/Datos!BG16," - ")</f>
        <v>0.16729727963417609</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0.35238095238095241</v>
      </c>
      <c r="E17" s="348">
        <f>IF(ISNUMBER(
   IF(D_I="SI",(Datos!J17-Datos!T17)/Datos!T17,(Datos!J17+Datos!AD17-(Datos!T17+Datos!AL17))/(Datos!T17+Datos!AL17))
     ),IF(D_I="SI",(Datos!J17-Datos!T17)/Datos!T17,(Datos!J17+Datos!AD17-(Datos!T17+Datos!AL17))/(Datos!T17+Datos!AL17))," - ")</f>
        <v>-0.24848484848484848</v>
      </c>
      <c r="F17" s="348">
        <f>IF(ISNUMBER(
   IF(D_I="SI",(Datos!K17-Datos!U17)/Datos!U17,(Datos!K17+Datos!AE17-(Datos!U17+Datos!AM17))/(Datos!U17+Datos!AM17))
     ),IF(D_I="SI",(Datos!K17-Datos!U17)/Datos!U17,(Datos!K17+Datos!AE17-(Datos!U17+Datos!AM17))/(Datos!U17+Datos!AM17))," - ")</f>
        <v>-0.25157232704402516</v>
      </c>
      <c r="G17" s="349">
        <f>IF(ISNUMBER(
   IF(D_I="SI",(Datos!L17-Datos!V17)/Datos!V17,(Datos!L17+Datos!AF17-(Datos!V17+Datos!AN17))/(Datos!V17+Datos!AN17))
     ),IF(D_I="SI",(Datos!L17-Datos!V17)/Datos!V17,(Datos!L17+Datos!AF17-(Datos!V17+Datos!AN17))/(Datos!V17+Datos!AN17))," - ")</f>
        <v>0.33179723502304148</v>
      </c>
      <c r="H17" s="230">
        <f>IF(ISNUMBER((Datos!M17-Datos!W17)/Datos!W17),(Datos!M17-Datos!W17)/Datos!W17," - ")</f>
        <v>4.5454545454545456E-2</v>
      </c>
      <c r="I17" s="350">
        <f>IF(ISNUMBER((Tasas!C17-Datos!BE17)/Datos!BE17),(Tasas!C17-Datos!BE17)/Datos!BE17," - ")</f>
        <v>0.77946017116524025</v>
      </c>
      <c r="J17" s="349">
        <f>IF(ISNUMBER((Tasas!D17-Datos!BF17)/Datos!BF17),(Tasas!D17-Datos!BF17)/Datos!BF17," - ")</f>
        <v>0.3968678380443087</v>
      </c>
      <c r="K17" s="351">
        <f>IF(ISNUMBER((Tasas!E17-Datos!BG17)/Datos!BG17),(Tasas!E17-Datos!BG17)/Datos!BG17," - ")</f>
        <v>0.45371428571428557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-2.7050610820244327E-2</v>
      </c>
      <c r="E18" s="354">
        <f>IF(ISNUMBER(
   IF(D_I="SI",(Datos!J18-Datos!T18)/Datos!T18,(Datos!J18+Datos!AD18-(Datos!T18+Datos!AL18))/(Datos!T18+Datos!AL18))
     ),IF(D_I="SI",(Datos!J18-Datos!T18)/Datos!T18,(Datos!J18+Datos!AD18-(Datos!T18+Datos!AL18))/(Datos!T18+Datos!AL18))," - ")</f>
        <v>-3.5491905354919057E-2</v>
      </c>
      <c r="F18" s="354">
        <f>IF(ISNUMBER(
   IF(D_I="SI",(Datos!K18-Datos!U18)/Datos!U18,(Datos!K18+Datos!AE18-(Datos!U18+Datos!AM18))/(Datos!U18+Datos!AM18))
     ),IF(D_I="SI",(Datos!K18-Datos!U18)/Datos!U18,(Datos!K18+Datos!AE18-(Datos!U18+Datos!AM18))/(Datos!U18+Datos!AM18))," - ")</f>
        <v>-0.18746041798606713</v>
      </c>
      <c r="G18" s="355">
        <f>IF(ISNUMBER(
   IF(D_I="SI",(Datos!L18-Datos!V18)/Datos!V18,(Datos!L18+Datos!AF18-(Datos!V18+Datos!AN18))/(Datos!V18+Datos!AN18))
     ),IF(D_I="SI",(Datos!L18-Datos!V18)/Datos!V18,(Datos!L18+Datos!AF18-(Datos!V18+Datos!AN18))/(Datos!V18+Datos!AN18))," - ")</f>
        <v>7.3863636363636367E-2</v>
      </c>
      <c r="H18" s="356">
        <f>IF(ISNUMBER((Datos!M18-Datos!W18)/Datos!W18),(Datos!M18-Datos!W18)/Datos!W18," - ")</f>
        <v>-5.6872037914691941E-2</v>
      </c>
      <c r="I18" s="357">
        <f>IF(ISNUMBER((Tasas!C18-Datos!BE18)/Datos!BE18),(Tasas!C18-Datos!BE18)/Datos!BE18," - ")</f>
        <v>0.32161393750442857</v>
      </c>
      <c r="J18" s="355">
        <f>IF(ISNUMBER((Tasas!D18-Datos!BF18)/Datos!BF18),(Tasas!D18-Datos!BF18)/Datos!BF18," - ")</f>
        <v>0.16071633057887874</v>
      </c>
      <c r="K18" s="358">
        <f>IF(ISNUMBER((Tasas!E18-Datos!BG18)/Datos!BG18),(Tasas!E18-Datos!BG18)/Datos!BG18," - ")</f>
        <v>0.19313759639313802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7.8181035719408987E-2</v>
      </c>
      <c r="E19" s="363">
        <f>IF(ISNUMBER(
   IF(J_V="SI",(Datos!J19-Datos!T19)/Datos!T19,(Datos!J19+Datos!Z19-(Datos!T19+Datos!AH19))/(Datos!T19+Datos!AH19))
     ),IF(J_V="SI",(Datos!J19-Datos!T19)/Datos!T19,(Datos!J19+Datos!Z19-(Datos!T19+Datos!AH19))/(Datos!T19+Datos!AH19))," - ")</f>
        <v>5.319493999351281E-2</v>
      </c>
      <c r="F19" s="363">
        <f>IF(ISNUMBER(
   IF(J_V="SI",(Datos!K19-Datos!U19)/Datos!U19,(Datos!K19+Datos!AA19-(Datos!U19+Datos!AI19))/(Datos!U19+Datos!AI19))
     ),IF(J_V="SI",(Datos!K19-Datos!U19)/Datos!U19,(Datos!K19+Datos!AA19-(Datos!U19+Datos!AI19))/(Datos!U19+Datos!AI19))," - ")</f>
        <v>2.0939086294416244E-2</v>
      </c>
      <c r="G19" s="364">
        <f>IF(ISNUMBER(
   IF(J_V="SI",(Datos!L19-Datos!V19)/Datos!V19,(Datos!L19+Datos!AB19-(Datos!V19+Datos!AJ19))/(Datos!V19+Datos!AJ19))
     ),IF(J_V="SI",(Datos!L19-Datos!V19)/Datos!V19,(Datos!L19+Datos!AB19-(Datos!V19+Datos!AJ19))/(Datos!V19+Datos!AJ19))," - ")</f>
        <v>8.6030912802566348E-2</v>
      </c>
      <c r="H19" s="365">
        <f>IF(ISNUMBER((Datos!M19-Datos!W19)/Datos!W19),(Datos!M19-Datos!W19)/Datos!W19," - ")</f>
        <v>8.2706766917293228E-2</v>
      </c>
      <c r="I19" s="362">
        <f>IF(ISNUMBER((Tasas!C19-Datos!BE19)/Datos!BE19),(Tasas!C19-Datos!BE19)/Datos!BE19," - ")</f>
        <v>6.3756817014819556E-2</v>
      </c>
      <c r="J19" s="363">
        <f>IF(ISNUMBER((Tasas!D19-Datos!BF19)/Datos!BF19),(Tasas!D19-Datos!BF19)/Datos!BF19," - ")</f>
        <v>-0.40486661264564039</v>
      </c>
      <c r="K19" s="364">
        <f>IF(ISNUMBER((Tasas!E19-Datos!BG19)/Datos!BG19),(Tasas!E19-Datos!BG19)/Datos!BG19," - ")</f>
        <v>4.8563240168719796E-2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0.29503411080670866</v>
      </c>
      <c r="E21" s="278">
        <f t="shared" si="1"/>
        <v>0.69378525002413249</v>
      </c>
      <c r="F21" s="278">
        <f t="shared" si="1"/>
        <v>0.51331145855214888</v>
      </c>
      <c r="G21" s="279">
        <f t="shared" si="1"/>
        <v>0.29216579025671136</v>
      </c>
      <c r="H21" s="285">
        <f t="shared" si="1"/>
        <v>0.1945970290657745</v>
      </c>
      <c r="I21" s="277">
        <f t="shared" si="1"/>
        <v>0.35407759684027262</v>
      </c>
      <c r="J21" s="278">
        <f t="shared" si="1"/>
        <v>0.41429784242630707</v>
      </c>
      <c r="K21" s="279">
        <f t="shared" si="1"/>
        <v>0.21327607151941005</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fOpej+l36h5hI75X5v30zL6s4Zw9DYL3Pe2JQve8LX/5t07eGH9CxQAbNgfcX3Tt30QQgkha+Tz6rFDGHygFJQ==" saltValue="f5kQNB0FZEmTY8k8t7XxF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2025-09-24T21:21:15Z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